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6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7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8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9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Z:\SERVICES\DSREP\ECHANGES\14- Comm et Valorisation ADEME\3- Infographies-Rapports annuels\Données 2021\Livrables SYDEREP v1\RA\"/>
    </mc:Choice>
  </mc:AlternateContent>
  <xr:revisionPtr revIDLastSave="0" documentId="13_ncr:1_{44154476-76C0-4DE4-8E3E-1C757DE83893}" xr6:coauthVersionLast="47" xr6:coauthVersionMax="47" xr10:uidLastSave="{00000000-0000-0000-0000-000000000000}"/>
  <workbookProtection workbookAlgorithmName="SHA-512" workbookHashValue="50HUC1OfyYGX4ieTgT34ITZ4zmaj4uw4CwCjbAyTOEImThHwzGxx5Wg4qZSdev5oKUjuU250OY3xe3em9HnOMg==" workbookSaltValue="6zOq5tvxiOyu6uT4nni4pQ==" workbookSpinCount="100000" lockStructure="1"/>
  <bookViews>
    <workbookView xWindow="-110" yWindow="-110" windowWidth="19420" windowHeight="10420" tabRatio="771" xr2:uid="{00000000-000D-0000-FFFF-FFFF00000000}"/>
  </bookViews>
  <sheets>
    <sheet name="Page de garde TDB" sheetId="2" r:id="rId1"/>
    <sheet name="Mise sur le marché" sheetId="8" r:id="rId2"/>
    <sheet name="Collecte et tri" sheetId="9" r:id="rId3"/>
    <sheet name="Indicateurs économiques - Citeo" sheetId="14" r:id="rId4"/>
    <sheet name="Indicateurs économiques - Leko" sheetId="22" r:id="rId5"/>
    <sheet name="Acier" sheetId="16" r:id="rId6"/>
    <sheet name="Aluminium" sheetId="20" r:id="rId7"/>
    <sheet name="Papier-Carton" sheetId="17" r:id="rId8"/>
    <sheet name="PCM" sheetId="21" state="hidden" r:id="rId9"/>
    <sheet name="Plastique" sheetId="18" r:id="rId10"/>
    <sheet name="Verre" sheetId="19" r:id="rId11"/>
  </sheets>
  <definedNames>
    <definedName name="ID" localSheetId="5" hidden="1">"abf3467f-b840-4de4-9e52-0d1a248bb846"</definedName>
    <definedName name="ID" localSheetId="6" hidden="1">"abf3467f-b840-4de4-9e52-0d1a248bb846"</definedName>
    <definedName name="ID" localSheetId="2" hidden="1">"ef10fb7a-a1a7-4e36-95f0-828ef4eb84a3"</definedName>
    <definedName name="ID" localSheetId="3" hidden="1">"60001d5e-d831-4ba5-ac08-71f41f73f769"</definedName>
    <definedName name="ID" localSheetId="4" hidden="1">"60001d5e-d831-4ba5-ac08-71f41f73f769"</definedName>
    <definedName name="ID" localSheetId="1" hidden="1">"63090879-d567-45bc-b9f2-d7e4cab60a79"</definedName>
    <definedName name="ID" localSheetId="0" hidden="1">"c9d53101-1f02-4d36-89f7-5dd2baaed1e5"</definedName>
    <definedName name="ID" localSheetId="7" hidden="1">"d937087d-8b8d-4e2e-bb00-a8d4ce680566"</definedName>
    <definedName name="ID" localSheetId="9" hidden="1">"bbc16da2-d96e-451e-9e49-8ba8a765cfd0"</definedName>
    <definedName name="ID" localSheetId="10" hidden="1">"8ac38379-d07e-48ac-a1bc-4505f6997cf5"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2" l="1"/>
  <c r="H130" i="22"/>
  <c r="H142" i="22" s="1"/>
  <c r="I130" i="22"/>
  <c r="J130" i="22"/>
  <c r="K130" i="22"/>
  <c r="L130" i="22"/>
  <c r="M130" i="22"/>
  <c r="J142" i="22" s="1"/>
  <c r="N130" i="22"/>
  <c r="H131" i="22"/>
  <c r="I131" i="22"/>
  <c r="H143" i="22" s="1"/>
  <c r="J131" i="22"/>
  <c r="J143" i="22" s="1"/>
  <c r="F159" i="22" s="1"/>
  <c r="K131" i="22"/>
  <c r="L131" i="22"/>
  <c r="M131" i="22"/>
  <c r="N131" i="22"/>
  <c r="H132" i="22"/>
  <c r="I132" i="22"/>
  <c r="J132" i="22"/>
  <c r="K132" i="22"/>
  <c r="L132" i="22"/>
  <c r="M132" i="22"/>
  <c r="N132" i="22"/>
  <c r="H133" i="22"/>
  <c r="I133" i="22"/>
  <c r="J133" i="22"/>
  <c r="K133" i="22"/>
  <c r="L133" i="22"/>
  <c r="M133" i="22"/>
  <c r="N133" i="22"/>
  <c r="H134" i="22"/>
  <c r="I134" i="22"/>
  <c r="J134" i="22"/>
  <c r="K134" i="22"/>
  <c r="L134" i="22"/>
  <c r="M134" i="22"/>
  <c r="N134" i="22"/>
  <c r="H135" i="22"/>
  <c r="I135" i="22"/>
  <c r="J135" i="22"/>
  <c r="K135" i="22"/>
  <c r="L135" i="22"/>
  <c r="M135" i="22"/>
  <c r="N135" i="22"/>
  <c r="H136" i="22"/>
  <c r="I136" i="22"/>
  <c r="J136" i="22"/>
  <c r="K136" i="22"/>
  <c r="L136" i="22"/>
  <c r="M136" i="22"/>
  <c r="N136" i="22"/>
  <c r="H137" i="22"/>
  <c r="I137" i="22"/>
  <c r="J137" i="22"/>
  <c r="K137" i="22"/>
  <c r="L137" i="22"/>
  <c r="M137" i="22"/>
  <c r="N137" i="22"/>
  <c r="H138" i="22"/>
  <c r="I138" i="22"/>
  <c r="J138" i="22"/>
  <c r="K138" i="22"/>
  <c r="L138" i="22"/>
  <c r="M138" i="22"/>
  <c r="N138" i="22"/>
  <c r="H139" i="22"/>
  <c r="I139" i="22"/>
  <c r="I145" i="22" s="1"/>
  <c r="J139" i="22"/>
  <c r="K139" i="22"/>
  <c r="L139" i="22"/>
  <c r="M139" i="22"/>
  <c r="N139" i="22"/>
  <c r="G131" i="22"/>
  <c r="G132" i="22"/>
  <c r="G133" i="22"/>
  <c r="G134" i="22"/>
  <c r="G135" i="22"/>
  <c r="G136" i="22"/>
  <c r="G137" i="22"/>
  <c r="G138" i="22"/>
  <c r="G150" i="22" s="1"/>
  <c r="G139" i="22"/>
  <c r="G130" i="22"/>
  <c r="G142" i="22" s="1"/>
  <c r="H150" i="22"/>
  <c r="G17" i="14"/>
  <c r="H17" i="14"/>
  <c r="I17" i="14"/>
  <c r="J17" i="14"/>
  <c r="K17" i="14"/>
  <c r="L17" i="14"/>
  <c r="M17" i="14"/>
  <c r="N17" i="14"/>
  <c r="O17" i="14"/>
  <c r="P17" i="14"/>
  <c r="Q17" i="14"/>
  <c r="I143" i="22" l="1"/>
  <c r="J145" i="22"/>
  <c r="J146" i="22"/>
  <c r="H148" i="22"/>
  <c r="H144" i="22"/>
  <c r="H145" i="22"/>
  <c r="J149" i="22"/>
  <c r="F162" i="22" s="1"/>
  <c r="J150" i="22"/>
  <c r="F164" i="22" s="1"/>
  <c r="J147" i="22"/>
  <c r="G145" i="22"/>
  <c r="G143" i="22"/>
  <c r="H147" i="22"/>
  <c r="H146" i="22"/>
  <c r="I146" i="22"/>
  <c r="J144" i="22"/>
  <c r="G148" i="22"/>
  <c r="H149" i="22"/>
  <c r="I147" i="22"/>
  <c r="G149" i="22"/>
  <c r="I149" i="22"/>
  <c r="E159" i="22"/>
  <c r="F163" i="22"/>
  <c r="E163" i="22"/>
  <c r="E157" i="22"/>
  <c r="F157" i="22"/>
  <c r="F158" i="22"/>
  <c r="E158" i="22"/>
  <c r="I150" i="22"/>
  <c r="G144" i="22"/>
  <c r="I148" i="22"/>
  <c r="I142" i="22"/>
  <c r="I144" i="22"/>
  <c r="J148" i="22"/>
  <c r="G146" i="22"/>
  <c r="G147" i="22"/>
  <c r="E12" i="14"/>
  <c r="F12" i="14"/>
  <c r="G12" i="14"/>
  <c r="H12" i="14"/>
  <c r="E162" i="22" l="1"/>
  <c r="E164" i="22"/>
  <c r="F156" i="22"/>
  <c r="E156" i="22"/>
  <c r="I12" i="14"/>
  <c r="J12" i="14"/>
  <c r="K12" i="14"/>
  <c r="L12" i="14"/>
  <c r="M12" i="14"/>
  <c r="N12" i="14"/>
  <c r="O12" i="14"/>
  <c r="F9" i="14" l="1"/>
  <c r="G9" i="14"/>
  <c r="H9" i="14"/>
  <c r="I9" i="14"/>
  <c r="J9" i="14"/>
  <c r="K9" i="14"/>
  <c r="L9" i="14"/>
  <c r="M9" i="14"/>
  <c r="N9" i="14"/>
  <c r="O9" i="14"/>
  <c r="P9" i="14"/>
  <c r="Q9" i="14"/>
  <c r="E9" i="14"/>
  <c r="P12" i="14" l="1"/>
  <c r="Q12" i="14"/>
  <c r="Q43" i="14" l="1"/>
  <c r="P43" i="14"/>
  <c r="Q163" i="8" l="1"/>
  <c r="P163" i="8" l="1"/>
  <c r="O33" i="19" l="1"/>
  <c r="N33" i="19"/>
  <c r="M33" i="19"/>
  <c r="L33" i="19"/>
  <c r="K33" i="19"/>
  <c r="Q33" i="19"/>
  <c r="O45" i="16"/>
  <c r="N45" i="16"/>
  <c r="M45" i="16"/>
  <c r="L45" i="16"/>
  <c r="K45" i="16"/>
  <c r="O44" i="16"/>
  <c r="N44" i="16"/>
  <c r="M44" i="16"/>
  <c r="L44" i="16"/>
  <c r="K44" i="16"/>
  <c r="O45" i="20"/>
  <c r="N45" i="20"/>
  <c r="M45" i="20"/>
  <c r="L45" i="20"/>
  <c r="K45" i="20"/>
  <c r="O44" i="20"/>
  <c r="N44" i="20"/>
  <c r="M44" i="20"/>
  <c r="L44" i="20"/>
  <c r="K44" i="20"/>
  <c r="M59" i="17"/>
  <c r="L59" i="17"/>
  <c r="K59" i="17"/>
  <c r="N59" i="17"/>
  <c r="O59" i="17"/>
  <c r="K61" i="17"/>
  <c r="L61" i="17"/>
  <c r="M61" i="17"/>
  <c r="N61" i="17"/>
  <c r="O61" i="17"/>
  <c r="L68" i="18"/>
  <c r="M68" i="18"/>
  <c r="N68" i="18"/>
  <c r="O68" i="18"/>
  <c r="Q68" i="18"/>
  <c r="Q44" i="16"/>
  <c r="Q45" i="16"/>
  <c r="Q44" i="20"/>
  <c r="Q45" i="20"/>
  <c r="Q61" i="17"/>
  <c r="Q59" i="17"/>
  <c r="P59" i="17"/>
  <c r="Q52" i="14" l="1"/>
  <c r="Q23" i="9"/>
  <c r="Q37" i="14"/>
  <c r="P33" i="19"/>
  <c r="P68" i="18"/>
  <c r="P61" i="17"/>
  <c r="P45" i="20"/>
  <c r="P44" i="20"/>
  <c r="P45" i="16"/>
  <c r="P44" i="16"/>
  <c r="F123" i="22"/>
  <c r="E123" i="22"/>
  <c r="P123" i="14"/>
  <c r="F122" i="22"/>
  <c r="E122" i="22"/>
  <c r="P122" i="14"/>
  <c r="L145" i="14"/>
  <c r="O161" i="14" s="1"/>
  <c r="L144" i="14"/>
  <c r="O160" i="14" s="1"/>
  <c r="Q124" i="14"/>
  <c r="Q123" i="14"/>
  <c r="Q122" i="14"/>
  <c r="P40" i="14"/>
  <c r="Q40" i="14"/>
  <c r="P120" i="14" l="1"/>
  <c r="O120" i="14"/>
  <c r="M143" i="14" l="1"/>
  <c r="P159" i="14" s="1"/>
  <c r="M142" i="14" l="1"/>
  <c r="P158" i="14" s="1"/>
  <c r="L142" i="14"/>
  <c r="O158" i="14" s="1"/>
  <c r="F117" i="22" l="1"/>
  <c r="E115" i="22"/>
  <c r="F115" i="22"/>
  <c r="P115" i="14"/>
  <c r="F114" i="22"/>
  <c r="E114" i="22"/>
  <c r="P114" i="14"/>
  <c r="P52" i="14" l="1"/>
  <c r="P37" i="14" l="1"/>
  <c r="Q14" i="9" l="1"/>
  <c r="Q9" i="19"/>
  <c r="Q8" i="19" s="1"/>
  <c r="Q73" i="9"/>
  <c r="Q75" i="9"/>
  <c r="P73" i="9"/>
  <c r="Q64" i="9"/>
  <c r="P61" i="9"/>
  <c r="P60" i="9"/>
  <c r="P122" i="8" l="1"/>
  <c r="P123" i="8"/>
  <c r="Q99" i="8"/>
  <c r="P92" i="8"/>
  <c r="Q35" i="8" l="1"/>
  <c r="P34" i="8"/>
  <c r="Q34" i="8"/>
  <c r="Q77" i="8"/>
  <c r="Q48" i="8"/>
  <c r="P36" i="8" l="1"/>
  <c r="P32" i="8"/>
  <c r="P30" i="8"/>
  <c r="P29" i="8"/>
  <c r="P28" i="8"/>
  <c r="P27" i="8"/>
  <c r="P25" i="8"/>
  <c r="P24" i="8"/>
  <c r="P21" i="8"/>
  <c r="P20" i="8"/>
  <c r="P19" i="8"/>
  <c r="P17" i="8"/>
  <c r="P16" i="8"/>
  <c r="P70" i="8"/>
  <c r="E161" i="22" s="1"/>
  <c r="P67" i="8"/>
  <c r="P62" i="8"/>
  <c r="P45" i="8"/>
  <c r="P40" i="8"/>
  <c r="E113" i="22" l="1"/>
  <c r="E116" i="22" s="1"/>
  <c r="E160" i="22"/>
  <c r="E165" i="22" s="1"/>
  <c r="P23" i="8"/>
  <c r="Q70" i="8"/>
  <c r="F161" i="22" s="1"/>
  <c r="P99" i="8" l="1"/>
  <c r="O99" i="8"/>
  <c r="N99" i="8"/>
  <c r="M99" i="8"/>
  <c r="P77" i="8" l="1"/>
  <c r="P66" i="8" l="1"/>
  <c r="Q67" i="8"/>
  <c r="F160" i="22" s="1"/>
  <c r="F165" i="22" s="1"/>
  <c r="Q62" i="8"/>
  <c r="Q55" i="8"/>
  <c r="Q45" i="8"/>
  <c r="Q113" i="14" s="1"/>
  <c r="Q40" i="8"/>
  <c r="Q66" i="8" l="1"/>
  <c r="F113" i="22"/>
  <c r="Q44" i="8"/>
  <c r="P55" i="8"/>
  <c r="P48" i="8"/>
  <c r="P113" i="14" s="1"/>
  <c r="P116" i="14" s="1"/>
  <c r="P26" i="8" l="1"/>
  <c r="P44" i="8"/>
  <c r="P22" i="8" s="1"/>
  <c r="E120" i="22" l="1"/>
  <c r="E119" i="22"/>
  <c r="Q159" i="14" l="1"/>
  <c r="M144" i="14"/>
  <c r="P160" i="14" s="1"/>
  <c r="M145" i="14"/>
  <c r="P161" i="14" s="1"/>
  <c r="M146" i="14"/>
  <c r="M147" i="14"/>
  <c r="M148" i="14"/>
  <c r="M149" i="14"/>
  <c r="M150" i="14"/>
  <c r="O113" i="14"/>
  <c r="O114" i="14"/>
  <c r="Q114" i="14"/>
  <c r="O115" i="14"/>
  <c r="Q115" i="14"/>
  <c r="N115" i="14"/>
  <c r="N114" i="14"/>
  <c r="N113" i="14"/>
  <c r="Q162" i="14" l="1"/>
  <c r="P162" i="14"/>
  <c r="Q156" i="14"/>
  <c r="P156" i="14"/>
  <c r="Q163" i="14"/>
  <c r="P163" i="14"/>
  <c r="Q164" i="14"/>
  <c r="P164" i="14"/>
  <c r="Q157" i="14"/>
  <c r="P157" i="14"/>
  <c r="Q117" i="14"/>
  <c r="P117" i="14"/>
  <c r="P118" i="14" s="1"/>
  <c r="O116" i="14"/>
  <c r="I122" i="8"/>
  <c r="J122" i="8"/>
  <c r="K122" i="8"/>
  <c r="L122" i="8"/>
  <c r="M122" i="8"/>
  <c r="N122" i="8"/>
  <c r="O122" i="8"/>
  <c r="Q122" i="8"/>
  <c r="I123" i="8"/>
  <c r="J123" i="8"/>
  <c r="K123" i="8"/>
  <c r="L123" i="8"/>
  <c r="M123" i="8"/>
  <c r="N123" i="8"/>
  <c r="O123" i="8"/>
  <c r="Q123" i="8"/>
  <c r="H123" i="8"/>
  <c r="H122" i="8"/>
  <c r="Q36" i="8" l="1"/>
  <c r="E16" i="8"/>
  <c r="F16" i="8"/>
  <c r="G16" i="8"/>
  <c r="H16" i="8"/>
  <c r="I16" i="8"/>
  <c r="J16" i="8"/>
  <c r="K16" i="8"/>
  <c r="L16" i="8"/>
  <c r="M16" i="8"/>
  <c r="N16" i="8"/>
  <c r="O16" i="8"/>
  <c r="Q16" i="8"/>
  <c r="E17" i="8"/>
  <c r="F17" i="8"/>
  <c r="G17" i="8"/>
  <c r="H17" i="8"/>
  <c r="I17" i="8"/>
  <c r="J17" i="8"/>
  <c r="K17" i="8"/>
  <c r="L17" i="8"/>
  <c r="M17" i="8"/>
  <c r="N17" i="8"/>
  <c r="O17" i="8"/>
  <c r="Q17" i="8"/>
  <c r="Q7" i="20" s="1"/>
  <c r="E19" i="8"/>
  <c r="F19" i="8"/>
  <c r="G19" i="8"/>
  <c r="H19" i="8"/>
  <c r="I19" i="8"/>
  <c r="J19" i="8"/>
  <c r="K19" i="8"/>
  <c r="L19" i="8"/>
  <c r="M19" i="8"/>
  <c r="N19" i="8"/>
  <c r="O19" i="8"/>
  <c r="Q19" i="8"/>
  <c r="E20" i="8"/>
  <c r="F20" i="8"/>
  <c r="G20" i="8"/>
  <c r="H20" i="8"/>
  <c r="I20" i="8"/>
  <c r="J20" i="8"/>
  <c r="K20" i="8"/>
  <c r="L20" i="8"/>
  <c r="M20" i="8"/>
  <c r="N20" i="8"/>
  <c r="O20" i="8"/>
  <c r="Q20" i="8"/>
  <c r="Q21" i="8"/>
  <c r="E23" i="8"/>
  <c r="F23" i="8"/>
  <c r="G23" i="8"/>
  <c r="H23" i="8"/>
  <c r="I23" i="8"/>
  <c r="J23" i="8"/>
  <c r="K23" i="8"/>
  <c r="L23" i="8"/>
  <c r="M23" i="8"/>
  <c r="N23" i="8"/>
  <c r="O23" i="8"/>
  <c r="Q24" i="8"/>
  <c r="Q25" i="8"/>
  <c r="E26" i="8"/>
  <c r="F26" i="8"/>
  <c r="G26" i="8"/>
  <c r="H26" i="8"/>
  <c r="I26" i="8"/>
  <c r="J26" i="8"/>
  <c r="K26" i="8"/>
  <c r="L26" i="8"/>
  <c r="M26" i="8"/>
  <c r="N26" i="8"/>
  <c r="O26" i="8"/>
  <c r="Q27" i="8"/>
  <c r="Q28" i="8"/>
  <c r="Q29" i="8"/>
  <c r="Q30" i="8"/>
  <c r="P31" i="8"/>
  <c r="Q31" i="8"/>
  <c r="E32" i="8"/>
  <c r="F32" i="8"/>
  <c r="G32" i="8"/>
  <c r="H32" i="8"/>
  <c r="I32" i="8"/>
  <c r="J32" i="8"/>
  <c r="K32" i="8"/>
  <c r="L32" i="8"/>
  <c r="M32" i="8"/>
  <c r="N32" i="8"/>
  <c r="O32" i="8"/>
  <c r="Q32" i="8"/>
  <c r="E33" i="8"/>
  <c r="F33" i="8"/>
  <c r="G33" i="8"/>
  <c r="H33" i="8"/>
  <c r="I33" i="8"/>
  <c r="J33" i="8"/>
  <c r="K33" i="8"/>
  <c r="L33" i="8"/>
  <c r="M33" i="8"/>
  <c r="N33" i="8"/>
  <c r="O33" i="8"/>
  <c r="Q33" i="8" l="1"/>
  <c r="P37" i="8" l="1"/>
  <c r="Q161" i="14"/>
  <c r="F116" i="22" l="1"/>
  <c r="F118" i="22" s="1"/>
  <c r="Q160" i="14"/>
  <c r="Q116" i="14"/>
  <c r="Q118" i="14" s="1"/>
  <c r="Q26" i="8"/>
  <c r="Q9" i="18" s="1"/>
  <c r="Q40" i="18" s="1"/>
  <c r="Q59" i="8"/>
  <c r="Q18" i="8"/>
  <c r="Q22" i="8"/>
  <c r="Q23" i="8"/>
  <c r="Q37" i="8" l="1"/>
  <c r="Q15" i="8" l="1"/>
  <c r="Q93" i="8"/>
  <c r="Q94" i="8"/>
  <c r="Q95" i="8"/>
  <c r="Q96" i="8"/>
  <c r="Q97" i="8"/>
  <c r="Q133" i="8" s="1"/>
  <c r="Q98" i="8"/>
  <c r="Q134" i="8" s="1"/>
  <c r="E93" i="8"/>
  <c r="E129" i="8" s="1"/>
  <c r="F93" i="8"/>
  <c r="G93" i="8"/>
  <c r="H93" i="8"/>
  <c r="I93" i="8"/>
  <c r="J93" i="8"/>
  <c r="K93" i="8"/>
  <c r="L93" i="8"/>
  <c r="M93" i="8"/>
  <c r="N93" i="8"/>
  <c r="O93" i="8"/>
  <c r="E94" i="8"/>
  <c r="F94" i="8"/>
  <c r="G94" i="8"/>
  <c r="H94" i="8"/>
  <c r="I94" i="8"/>
  <c r="J94" i="8"/>
  <c r="K94" i="8"/>
  <c r="L94" i="8"/>
  <c r="M94" i="8"/>
  <c r="N94" i="8"/>
  <c r="O94" i="8"/>
  <c r="E95" i="8"/>
  <c r="F95" i="8"/>
  <c r="G95" i="8"/>
  <c r="H95" i="8"/>
  <c r="I95" i="8"/>
  <c r="J95" i="8"/>
  <c r="K95" i="8"/>
  <c r="L95" i="8"/>
  <c r="M95" i="8"/>
  <c r="N95" i="8"/>
  <c r="O95" i="8"/>
  <c r="E96" i="8"/>
  <c r="F96" i="8"/>
  <c r="G96" i="8"/>
  <c r="H96" i="8"/>
  <c r="I96" i="8"/>
  <c r="J96" i="8"/>
  <c r="K96" i="8"/>
  <c r="L96" i="8"/>
  <c r="M96" i="8"/>
  <c r="N96" i="8"/>
  <c r="O96" i="8"/>
  <c r="E97" i="8"/>
  <c r="E133" i="8" s="1"/>
  <c r="F97" i="8"/>
  <c r="F133" i="8" s="1"/>
  <c r="G97" i="8"/>
  <c r="G133" i="8" s="1"/>
  <c r="H97" i="8"/>
  <c r="H133" i="8" s="1"/>
  <c r="I97" i="8"/>
  <c r="I133" i="8" s="1"/>
  <c r="J97" i="8"/>
  <c r="J133" i="8" s="1"/>
  <c r="K97" i="8"/>
  <c r="K133" i="8" s="1"/>
  <c r="L97" i="8"/>
  <c r="L133" i="8" s="1"/>
  <c r="M97" i="8"/>
  <c r="M133" i="8" s="1"/>
  <c r="N97" i="8"/>
  <c r="N133" i="8" s="1"/>
  <c r="O97" i="8"/>
  <c r="O133" i="8" s="1"/>
  <c r="E98" i="8"/>
  <c r="E134" i="8" s="1"/>
  <c r="F98" i="8"/>
  <c r="F134" i="8" s="1"/>
  <c r="G98" i="8"/>
  <c r="G134" i="8" s="1"/>
  <c r="H98" i="8"/>
  <c r="H134" i="8" s="1"/>
  <c r="I98" i="8"/>
  <c r="I134" i="8" s="1"/>
  <c r="J98" i="8"/>
  <c r="J134" i="8" s="1"/>
  <c r="K98" i="8"/>
  <c r="K134" i="8" s="1"/>
  <c r="L98" i="8"/>
  <c r="L134" i="8" s="1"/>
  <c r="M98" i="8"/>
  <c r="M134" i="8" s="1"/>
  <c r="N98" i="8"/>
  <c r="N134" i="8" s="1"/>
  <c r="O98" i="8"/>
  <c r="O134" i="8" s="1"/>
  <c r="P98" i="8"/>
  <c r="P93" i="8"/>
  <c r="P129" i="8" s="1"/>
  <c r="P33" i="8"/>
  <c r="O44" i="8"/>
  <c r="O22" i="8" s="1"/>
  <c r="N44" i="8"/>
  <c r="M44" i="8"/>
  <c r="M22" i="8" s="1"/>
  <c r="L44" i="8"/>
  <c r="L22" i="8" s="1"/>
  <c r="K44" i="8"/>
  <c r="K22" i="8" s="1"/>
  <c r="J44" i="8"/>
  <c r="J22" i="8" s="1"/>
  <c r="I44" i="8"/>
  <c r="I22" i="8" s="1"/>
  <c r="H44" i="8"/>
  <c r="H22" i="8" s="1"/>
  <c r="G44" i="8"/>
  <c r="G22" i="8" s="1"/>
  <c r="F44" i="8"/>
  <c r="F22" i="8" s="1"/>
  <c r="E44" i="8"/>
  <c r="E22" i="8" s="1"/>
  <c r="O40" i="8"/>
  <c r="N40" i="8"/>
  <c r="M40" i="8"/>
  <c r="L40" i="8"/>
  <c r="K40" i="8"/>
  <c r="J40" i="8"/>
  <c r="I40" i="8"/>
  <c r="H40" i="8"/>
  <c r="G40" i="8"/>
  <c r="F40" i="8"/>
  <c r="E40" i="8"/>
  <c r="P134" i="8" l="1"/>
  <c r="Q116" i="8"/>
  <c r="P96" i="8"/>
  <c r="P132" i="8" s="1"/>
  <c r="P97" i="8"/>
  <c r="P133" i="8" s="1"/>
  <c r="P94" i="8"/>
  <c r="P130" i="8" s="1"/>
  <c r="P95" i="8"/>
  <c r="Q81" i="8"/>
  <c r="Q84" i="8"/>
  <c r="N22" i="8"/>
  <c r="P18" i="8"/>
  <c r="J37" i="8"/>
  <c r="J15" i="8" s="1"/>
  <c r="J18" i="8"/>
  <c r="K37" i="8"/>
  <c r="K15" i="8" s="1"/>
  <c r="K18" i="8"/>
  <c r="L37" i="8"/>
  <c r="L15" i="8" s="1"/>
  <c r="L18" i="8"/>
  <c r="E37" i="8"/>
  <c r="E15" i="8" s="1"/>
  <c r="E18" i="8"/>
  <c r="M37" i="8"/>
  <c r="M15" i="8" s="1"/>
  <c r="M18" i="8"/>
  <c r="N18" i="8"/>
  <c r="N37" i="8"/>
  <c r="N15" i="8" s="1"/>
  <c r="F18" i="8"/>
  <c r="F37" i="8"/>
  <c r="F15" i="8" s="1"/>
  <c r="G18" i="8"/>
  <c r="G37" i="8"/>
  <c r="G15" i="8" s="1"/>
  <c r="O18" i="8"/>
  <c r="O37" i="8"/>
  <c r="O15" i="8" s="1"/>
  <c r="H37" i="8"/>
  <c r="H15" i="8" s="1"/>
  <c r="H18" i="8"/>
  <c r="I37" i="8"/>
  <c r="I15" i="8" s="1"/>
  <c r="I18" i="8"/>
  <c r="O46" i="14"/>
  <c r="P131" i="8" l="1"/>
  <c r="N116" i="14"/>
  <c r="P59" i="8"/>
  <c r="P37" i="9"/>
  <c r="P32" i="9"/>
  <c r="P30" i="9" s="1"/>
  <c r="P62" i="9" s="1"/>
  <c r="P15" i="8" l="1"/>
  <c r="Q37" i="9"/>
  <c r="Q63" i="9" s="1"/>
  <c r="Q32" i="9"/>
  <c r="Q30" i="9" s="1"/>
  <c r="Q62" i="9" l="1"/>
  <c r="Q74" i="9"/>
  <c r="P81" i="8"/>
  <c r="P128" i="8"/>
  <c r="F52" i="22"/>
  <c r="F9" i="22"/>
  <c r="P9" i="19" l="1"/>
  <c r="P8" i="19"/>
  <c r="P7" i="19"/>
  <c r="P32" i="19" s="1"/>
  <c r="P37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4" i="17"/>
  <c r="P13" i="17" s="1"/>
  <c r="P12" i="17"/>
  <c r="P9" i="17"/>
  <c r="P8" i="17"/>
  <c r="P13" i="20"/>
  <c r="P9" i="20"/>
  <c r="P8" i="20" s="1"/>
  <c r="P43" i="20" s="1"/>
  <c r="P7" i="20"/>
  <c r="P13" i="16"/>
  <c r="P9" i="16"/>
  <c r="P7" i="16"/>
  <c r="P43" i="16" s="1"/>
  <c r="F12" i="22"/>
  <c r="F37" i="22"/>
  <c r="F119" i="22" s="1"/>
  <c r="E37" i="22"/>
  <c r="E75" i="22" s="1"/>
  <c r="E76" i="22"/>
  <c r="E124" i="22"/>
  <c r="P124" i="14"/>
  <c r="P76" i="14"/>
  <c r="P119" i="14"/>
  <c r="P64" i="9"/>
  <c r="P63" i="9"/>
  <c r="P74" i="9"/>
  <c r="P75" i="9"/>
  <c r="P23" i="9"/>
  <c r="Q15" i="9"/>
  <c r="P15" i="9"/>
  <c r="P14" i="9"/>
  <c r="Q92" i="8"/>
  <c r="Q128" i="8" s="1"/>
  <c r="P64" i="18"/>
  <c r="P55" i="17"/>
  <c r="P9" i="18"/>
  <c r="P40" i="18" s="1"/>
  <c r="P89" i="9" s="1"/>
  <c r="P8" i="18"/>
  <c r="E117" i="22" l="1"/>
  <c r="E12" i="22"/>
  <c r="E9" i="22"/>
  <c r="P10" i="17"/>
  <c r="P13" i="18"/>
  <c r="P10" i="18" s="1"/>
  <c r="E118" i="22"/>
  <c r="E126" i="22" s="1"/>
  <c r="P11" i="17"/>
  <c r="P40" i="20"/>
  <c r="P41" i="20" s="1"/>
  <c r="P119" i="8"/>
  <c r="P40" i="16"/>
  <c r="P41" i="16" s="1"/>
  <c r="P29" i="19"/>
  <c r="P30" i="19" s="1"/>
  <c r="P125" i="14"/>
  <c r="P75" i="14"/>
  <c r="P25" i="9"/>
  <c r="P65" i="9" s="1"/>
  <c r="P8" i="16"/>
  <c r="P14" i="16" s="1"/>
  <c r="P82" i="9" s="1"/>
  <c r="P7" i="17"/>
  <c r="P58" i="17" s="1"/>
  <c r="P39" i="18"/>
  <c r="P88" i="9" s="1"/>
  <c r="P7" i="18"/>
  <c r="P67" i="18" s="1"/>
  <c r="P14" i="20"/>
  <c r="P83" i="9" s="1"/>
  <c r="P13" i="19"/>
  <c r="P90" i="9" s="1"/>
  <c r="P20" i="17"/>
  <c r="P85" i="9" s="1"/>
  <c r="P21" i="17"/>
  <c r="P86" i="9" s="1"/>
  <c r="E125" i="22"/>
  <c r="E74" i="22" s="1"/>
  <c r="P116" i="8"/>
  <c r="P121" i="8"/>
  <c r="P117" i="8"/>
  <c r="P118" i="8"/>
  <c r="P120" i="8"/>
  <c r="F76" i="22"/>
  <c r="F75" i="22"/>
  <c r="P69" i="9" l="1"/>
  <c r="P67" i="9"/>
  <c r="P81" i="9"/>
  <c r="P66" i="9"/>
  <c r="P68" i="9"/>
  <c r="P19" i="17"/>
  <c r="P84" i="9" s="1"/>
  <c r="P38" i="18"/>
  <c r="P87" i="9" s="1"/>
  <c r="P56" i="17"/>
  <c r="P65" i="18"/>
  <c r="P74" i="14"/>
  <c r="P82" i="8"/>
  <c r="P84" i="8"/>
  <c r="P83" i="8"/>
  <c r="P86" i="8"/>
  <c r="P85" i="8"/>
  <c r="E127" i="22"/>
  <c r="Q121" i="8" l="1"/>
  <c r="Q120" i="8"/>
  <c r="Q119" i="8"/>
  <c r="Q118" i="8"/>
  <c r="Q117" i="8"/>
  <c r="K92" i="8" l="1"/>
  <c r="Q119" i="14" l="1"/>
  <c r="O37" i="14" l="1"/>
  <c r="N37" i="14" l="1"/>
  <c r="F124" i="22" l="1"/>
  <c r="F120" i="22"/>
  <c r="Q120" i="14"/>
  <c r="Q125" i="14" s="1"/>
  <c r="N119" i="14"/>
  <c r="O119" i="14"/>
  <c r="N124" i="14"/>
  <c r="O124" i="14"/>
  <c r="N52" i="14"/>
  <c r="F125" i="22" l="1"/>
  <c r="F74" i="22" s="1"/>
  <c r="L150" i="14" l="1"/>
  <c r="O164" i="14" s="1"/>
  <c r="K150" i="14"/>
  <c r="N164" i="14" s="1"/>
  <c r="J150" i="14"/>
  <c r="L149" i="14"/>
  <c r="O162" i="14" s="1"/>
  <c r="K149" i="14"/>
  <c r="N162" i="14" s="1"/>
  <c r="J149" i="14"/>
  <c r="L148" i="14"/>
  <c r="O156" i="14" s="1"/>
  <c r="K148" i="14"/>
  <c r="N156" i="14" s="1"/>
  <c r="J148" i="14"/>
  <c r="L147" i="14"/>
  <c r="O163" i="14" s="1"/>
  <c r="K147" i="14"/>
  <c r="N163" i="14" s="1"/>
  <c r="J147" i="14"/>
  <c r="L146" i="14"/>
  <c r="O157" i="14" s="1"/>
  <c r="K146" i="14"/>
  <c r="N157" i="14" s="1"/>
  <c r="J146" i="14"/>
  <c r="K145" i="14"/>
  <c r="N161" i="14" s="1"/>
  <c r="J145" i="14"/>
  <c r="K144" i="14"/>
  <c r="N160" i="14" s="1"/>
  <c r="J144" i="14"/>
  <c r="L143" i="14"/>
  <c r="K143" i="14"/>
  <c r="N159" i="14" s="1"/>
  <c r="J143" i="14"/>
  <c r="K142" i="14"/>
  <c r="N158" i="14" s="1"/>
  <c r="J142" i="14"/>
  <c r="Q74" i="14"/>
  <c r="O125" i="14"/>
  <c r="N120" i="14"/>
  <c r="N125" i="14" s="1"/>
  <c r="M109" i="14"/>
  <c r="M111" i="14" s="1"/>
  <c r="L109" i="14"/>
  <c r="L111" i="14" s="1"/>
  <c r="K109" i="14"/>
  <c r="K111" i="14" s="1"/>
  <c r="J109" i="14"/>
  <c r="J111" i="14" s="1"/>
  <c r="I109" i="14"/>
  <c r="I111" i="14" s="1"/>
  <c r="H109" i="14"/>
  <c r="H111" i="14" s="1"/>
  <c r="G109" i="14"/>
  <c r="G111" i="14" s="1"/>
  <c r="G74" i="14"/>
  <c r="O117" i="14" l="1"/>
  <c r="O118" i="14" s="1"/>
  <c r="O159" i="14"/>
  <c r="O165" i="14" s="1"/>
  <c r="N117" i="14"/>
  <c r="N118" i="14" s="1"/>
  <c r="N126" i="14" s="1"/>
  <c r="N127" i="14" s="1"/>
  <c r="N165" i="14"/>
  <c r="Q16" i="18" l="1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16" i="18"/>
  <c r="O13" i="18" l="1"/>
  <c r="Q13" i="18"/>
  <c r="M118" i="8"/>
  <c r="F92" i="8" l="1"/>
  <c r="G92" i="8"/>
  <c r="H92" i="8"/>
  <c r="I92" i="8"/>
  <c r="J92" i="8"/>
  <c r="L92" i="8"/>
  <c r="M92" i="8"/>
  <c r="N92" i="8"/>
  <c r="O92" i="8"/>
  <c r="E92" i="8"/>
  <c r="F126" i="22" l="1"/>
  <c r="F127" i="22" s="1"/>
  <c r="O49" i="14" l="1"/>
  <c r="O52" i="14" s="1"/>
  <c r="Q29" i="19" l="1"/>
  <c r="Q64" i="18"/>
  <c r="Q55" i="17"/>
  <c r="Q40" i="20"/>
  <c r="Q40" i="16"/>
  <c r="O43" i="14" l="1"/>
  <c r="N13" i="17" l="1"/>
  <c r="O37" i="9" l="1"/>
  <c r="O40" i="16" l="1"/>
  <c r="O23" i="9" l="1"/>
  <c r="Q7" i="19" l="1"/>
  <c r="Q13" i="19" s="1"/>
  <c r="Q37" i="18"/>
  <c r="Q10" i="18" s="1"/>
  <c r="E14" i="18"/>
  <c r="F14" i="18"/>
  <c r="G14" i="18"/>
  <c r="H14" i="18"/>
  <c r="I14" i="18"/>
  <c r="J14" i="18"/>
  <c r="K14" i="18"/>
  <c r="L14" i="18"/>
  <c r="M14" i="18"/>
  <c r="E15" i="18"/>
  <c r="F15" i="18"/>
  <c r="G15" i="18"/>
  <c r="H15" i="18"/>
  <c r="I15" i="18"/>
  <c r="J15" i="18"/>
  <c r="K15" i="18"/>
  <c r="L15" i="18"/>
  <c r="M15" i="18"/>
  <c r="N15" i="18"/>
  <c r="N14" i="18"/>
  <c r="Q8" i="18"/>
  <c r="Q39" i="18" s="1"/>
  <c r="Q9" i="17"/>
  <c r="Q14" i="17"/>
  <c r="O14" i="17"/>
  <c r="Q8" i="17"/>
  <c r="Q12" i="17"/>
  <c r="Q9" i="20"/>
  <c r="F13" i="16"/>
  <c r="G13" i="16"/>
  <c r="H13" i="16"/>
  <c r="I13" i="16"/>
  <c r="J13" i="16"/>
  <c r="K13" i="16"/>
  <c r="L13" i="16"/>
  <c r="M13" i="16"/>
  <c r="N13" i="16"/>
  <c r="E13" i="16"/>
  <c r="Q7" i="16"/>
  <c r="F9" i="16"/>
  <c r="G9" i="16"/>
  <c r="H9" i="16"/>
  <c r="I9" i="16"/>
  <c r="J9" i="16"/>
  <c r="K9" i="16"/>
  <c r="L9" i="16"/>
  <c r="M9" i="16"/>
  <c r="N9" i="16"/>
  <c r="O9" i="16"/>
  <c r="Q9" i="16"/>
  <c r="E9" i="16"/>
  <c r="N73" i="9"/>
  <c r="O73" i="9"/>
  <c r="N75" i="9"/>
  <c r="M75" i="9"/>
  <c r="L75" i="9"/>
  <c r="K75" i="9"/>
  <c r="J75" i="9"/>
  <c r="I75" i="9"/>
  <c r="H75" i="9"/>
  <c r="F75" i="9"/>
  <c r="G75" i="9"/>
  <c r="E75" i="9"/>
  <c r="O32" i="9"/>
  <c r="O30" i="9" s="1"/>
  <c r="O29" i="9"/>
  <c r="O28" i="9"/>
  <c r="O27" i="9"/>
  <c r="O13" i="16" s="1"/>
  <c r="F37" i="9"/>
  <c r="G37" i="9"/>
  <c r="H37" i="9"/>
  <c r="I37" i="9"/>
  <c r="J37" i="9"/>
  <c r="K37" i="9"/>
  <c r="L37" i="9"/>
  <c r="M37" i="9"/>
  <c r="N37" i="9"/>
  <c r="N63" i="9" s="1"/>
  <c r="E37" i="9"/>
  <c r="F30" i="9"/>
  <c r="G30" i="9"/>
  <c r="G74" i="9" s="1"/>
  <c r="H30" i="9"/>
  <c r="I30" i="9"/>
  <c r="J30" i="9"/>
  <c r="K30" i="9"/>
  <c r="K74" i="9" s="1"/>
  <c r="L30" i="9"/>
  <c r="M30" i="9"/>
  <c r="N30" i="9"/>
  <c r="E30" i="9"/>
  <c r="E74" i="9" s="1"/>
  <c r="Q13" i="20"/>
  <c r="Q8" i="20" s="1"/>
  <c r="Q14" i="20" s="1"/>
  <c r="Q83" i="9" s="1"/>
  <c r="I74" i="9" l="1"/>
  <c r="H74" i="9"/>
  <c r="Q7" i="17"/>
  <c r="Q20" i="17"/>
  <c r="F74" i="9"/>
  <c r="N74" i="9"/>
  <c r="Q88" i="9"/>
  <c r="Q89" i="9"/>
  <c r="Q25" i="9"/>
  <c r="Q81" i="9" s="1"/>
  <c r="M74" i="9"/>
  <c r="N13" i="18"/>
  <c r="L74" i="9"/>
  <c r="J74" i="9"/>
  <c r="E13" i="18"/>
  <c r="K13" i="18"/>
  <c r="G13" i="18"/>
  <c r="M13" i="18"/>
  <c r="O74" i="9"/>
  <c r="O75" i="9"/>
  <c r="O25" i="9" s="1"/>
  <c r="O81" i="9" s="1"/>
  <c r="Q13" i="16"/>
  <c r="Q8" i="16" s="1"/>
  <c r="Q14" i="16" s="1"/>
  <c r="Q82" i="9" s="1"/>
  <c r="I13" i="18"/>
  <c r="Q13" i="17"/>
  <c r="Q21" i="17" s="1"/>
  <c r="H13" i="18"/>
  <c r="F13" i="18"/>
  <c r="L13" i="18"/>
  <c r="J13" i="18"/>
  <c r="Q7" i="18"/>
  <c r="Q38" i="18" s="1"/>
  <c r="Q11" i="17" l="1"/>
  <c r="Q10" i="17"/>
  <c r="Q19" i="17" s="1"/>
  <c r="Q69" i="9"/>
  <c r="Q68" i="9"/>
  <c r="Q67" i="9"/>
  <c r="H132" i="8"/>
  <c r="G131" i="8"/>
  <c r="L128" i="8" l="1"/>
  <c r="K128" i="8"/>
  <c r="Q86" i="8" l="1"/>
  <c r="Q85" i="8"/>
  <c r="Q83" i="8"/>
  <c r="Q82" i="8"/>
  <c r="Q32" i="19"/>
  <c r="Q30" i="19"/>
  <c r="Q90" i="9"/>
  <c r="Q67" i="18"/>
  <c r="Q65" i="18"/>
  <c r="Q87" i="9"/>
  <c r="Q58" i="17"/>
  <c r="Q56" i="17"/>
  <c r="Q84" i="9"/>
  <c r="Q85" i="9"/>
  <c r="Q86" i="9"/>
  <c r="Q43" i="20"/>
  <c r="Q41" i="20"/>
  <c r="Q43" i="16"/>
  <c r="Q41" i="16"/>
  <c r="Q76" i="14"/>
  <c r="Q75" i="14"/>
  <c r="Q60" i="9"/>
  <c r="Q65" i="9" s="1"/>
  <c r="Q61" i="9"/>
  <c r="Q66" i="9" s="1"/>
  <c r="Q129" i="8"/>
  <c r="Q130" i="8"/>
  <c r="Q131" i="8"/>
  <c r="Q132" i="8"/>
  <c r="O37" i="17" l="1"/>
  <c r="N23" i="16" l="1"/>
  <c r="N25" i="9" l="1"/>
  <c r="N81" i="9" s="1"/>
  <c r="O7" i="16" l="1"/>
  <c r="O43" i="16" s="1"/>
  <c r="O60" i="9" l="1"/>
  <c r="G37" i="14" l="1"/>
  <c r="M37" i="14" l="1"/>
  <c r="H76" i="14" l="1"/>
  <c r="I76" i="14"/>
  <c r="J76" i="14"/>
  <c r="K76" i="14"/>
  <c r="L76" i="14"/>
  <c r="M76" i="14"/>
  <c r="N76" i="14"/>
  <c r="G76" i="14"/>
  <c r="H74" i="14" l="1"/>
  <c r="I74" i="14"/>
  <c r="J74" i="14"/>
  <c r="K74" i="14"/>
  <c r="L74" i="14"/>
  <c r="M74" i="14"/>
  <c r="M75" i="14"/>
  <c r="G75" i="14"/>
  <c r="G1" i="21" l="1"/>
  <c r="G8" i="21" s="1"/>
  <c r="D1" i="21"/>
  <c r="D8" i="21" s="1"/>
  <c r="C3" i="21"/>
  <c r="E3" i="21"/>
  <c r="F3" i="21"/>
  <c r="B3" i="21"/>
  <c r="D7" i="21" l="1"/>
  <c r="D6" i="21"/>
  <c r="D4" i="21"/>
  <c r="G4" i="21"/>
  <c r="D3" i="21"/>
  <c r="D5" i="21"/>
  <c r="G7" i="21"/>
  <c r="G3" i="21" s="1"/>
  <c r="G5" i="21"/>
  <c r="G6" i="21"/>
  <c r="H37" i="14" l="1"/>
  <c r="H75" i="14" s="1"/>
  <c r="I37" i="14"/>
  <c r="I75" i="14" s="1"/>
  <c r="J37" i="14"/>
  <c r="J75" i="14" s="1"/>
  <c r="K37" i="14"/>
  <c r="K75" i="14" s="1"/>
  <c r="L37" i="14"/>
  <c r="L75" i="14" s="1"/>
  <c r="N75" i="14" l="1"/>
  <c r="N59" i="14"/>
  <c r="M59" i="14"/>
  <c r="L59" i="14"/>
  <c r="K59" i="14"/>
  <c r="J59" i="14"/>
  <c r="I59" i="14"/>
  <c r="H59" i="14"/>
  <c r="G59" i="14"/>
  <c r="F59" i="14"/>
  <c r="N74" i="14" l="1"/>
  <c r="E59" i="14"/>
  <c r="I15" i="9" l="1"/>
  <c r="J15" i="9"/>
  <c r="K15" i="9"/>
  <c r="L15" i="9"/>
  <c r="M15" i="9"/>
  <c r="N15" i="9"/>
  <c r="O15" i="9"/>
  <c r="O129" i="8" l="1"/>
  <c r="O128" i="8"/>
  <c r="N116" i="8" l="1"/>
  <c r="M116" i="8"/>
  <c r="L116" i="8"/>
  <c r="K116" i="8"/>
  <c r="O21" i="19" l="1"/>
  <c r="N21" i="19"/>
  <c r="M21" i="19"/>
  <c r="L21" i="19"/>
  <c r="K21" i="19"/>
  <c r="O56" i="18"/>
  <c r="O48" i="18"/>
  <c r="M48" i="18"/>
  <c r="L48" i="18"/>
  <c r="K48" i="18"/>
  <c r="N37" i="17"/>
  <c r="M37" i="17"/>
  <c r="L37" i="17"/>
  <c r="K37" i="17"/>
  <c r="M29" i="17"/>
  <c r="L29" i="17"/>
  <c r="K29" i="17"/>
  <c r="O31" i="20"/>
  <c r="N31" i="20"/>
  <c r="M31" i="20"/>
  <c r="L31" i="20"/>
  <c r="K31" i="20"/>
  <c r="M23" i="20"/>
  <c r="L23" i="20"/>
  <c r="K23" i="20"/>
  <c r="O31" i="16"/>
  <c r="N31" i="16"/>
  <c r="M31" i="16"/>
  <c r="L31" i="16"/>
  <c r="K31" i="16"/>
  <c r="L23" i="16"/>
  <c r="M23" i="16"/>
  <c r="O23" i="16"/>
  <c r="K23" i="16"/>
  <c r="O13" i="17" l="1"/>
  <c r="F40" i="20" l="1"/>
  <c r="G40" i="20"/>
  <c r="H40" i="20"/>
  <c r="I40" i="20"/>
  <c r="J40" i="20"/>
  <c r="K40" i="20"/>
  <c r="L40" i="20"/>
  <c r="M40" i="20"/>
  <c r="N40" i="20"/>
  <c r="O40" i="20"/>
  <c r="E40" i="20"/>
  <c r="F8" i="18"/>
  <c r="F39" i="18" s="1"/>
  <c r="G8" i="18"/>
  <c r="G39" i="18" s="1"/>
  <c r="H8" i="18"/>
  <c r="H39" i="18" s="1"/>
  <c r="I8" i="18"/>
  <c r="J8" i="18"/>
  <c r="K8" i="18"/>
  <c r="K39" i="18" s="1"/>
  <c r="L8" i="18"/>
  <c r="L39" i="18" s="1"/>
  <c r="M8" i="18"/>
  <c r="M39" i="18" s="1"/>
  <c r="N8" i="18"/>
  <c r="N39" i="18" s="1"/>
  <c r="O8" i="18"/>
  <c r="F9" i="18"/>
  <c r="G9" i="18"/>
  <c r="H9" i="18"/>
  <c r="I9" i="18"/>
  <c r="J9" i="18"/>
  <c r="K9" i="18"/>
  <c r="L9" i="18"/>
  <c r="M9" i="18"/>
  <c r="N9" i="18"/>
  <c r="O9" i="18"/>
  <c r="E8" i="18"/>
  <c r="E9" i="18"/>
  <c r="O40" i="18" l="1"/>
  <c r="O89" i="9" s="1"/>
  <c r="O39" i="18"/>
  <c r="O88" i="9" s="1"/>
  <c r="I7" i="18"/>
  <c r="I39" i="18"/>
  <c r="G40" i="18"/>
  <c r="G89" i="9" s="1"/>
  <c r="N40" i="18"/>
  <c r="N89" i="9" s="1"/>
  <c r="J7" i="18"/>
  <c r="J39" i="18"/>
  <c r="F40" i="18"/>
  <c r="F89" i="9" s="1"/>
  <c r="M40" i="18"/>
  <c r="M89" i="9" s="1"/>
  <c r="E7" i="18"/>
  <c r="E39" i="18"/>
  <c r="L40" i="18"/>
  <c r="L89" i="9" s="1"/>
  <c r="H40" i="18"/>
  <c r="H89" i="9" s="1"/>
  <c r="K40" i="18"/>
  <c r="K89" i="9" s="1"/>
  <c r="J40" i="18"/>
  <c r="J89" i="9" s="1"/>
  <c r="E40" i="18"/>
  <c r="E89" i="9" s="1"/>
  <c r="I40" i="18"/>
  <c r="I89" i="9" s="1"/>
  <c r="G7" i="18"/>
  <c r="F7" i="18"/>
  <c r="L7" i="18"/>
  <c r="H7" i="18"/>
  <c r="N7" i="18"/>
  <c r="M7" i="18"/>
  <c r="K7" i="18"/>
  <c r="O7" i="18"/>
  <c r="L23" i="9"/>
  <c r="M23" i="9"/>
  <c r="E121" i="8"/>
  <c r="F121" i="8"/>
  <c r="G121" i="8"/>
  <c r="H121" i="8"/>
  <c r="I121" i="8"/>
  <c r="J121" i="8"/>
  <c r="K121" i="8"/>
  <c r="L121" i="8"/>
  <c r="M121" i="8"/>
  <c r="N121" i="8"/>
  <c r="O121" i="8"/>
  <c r="O116" i="8" l="1"/>
  <c r="N117" i="8"/>
  <c r="O117" i="8"/>
  <c r="N118" i="8"/>
  <c r="O118" i="8"/>
  <c r="N119" i="8"/>
  <c r="O119" i="8"/>
  <c r="N120" i="8"/>
  <c r="O120" i="8"/>
  <c r="E116" i="8"/>
  <c r="F116" i="8"/>
  <c r="G116" i="8"/>
  <c r="H116" i="8"/>
  <c r="I116" i="8"/>
  <c r="J116" i="8"/>
  <c r="E117" i="8"/>
  <c r="F117" i="8"/>
  <c r="G117" i="8"/>
  <c r="H117" i="8"/>
  <c r="I117" i="8"/>
  <c r="J117" i="8"/>
  <c r="K117" i="8"/>
  <c r="L117" i="8"/>
  <c r="E118" i="8"/>
  <c r="F118" i="8"/>
  <c r="G118" i="8"/>
  <c r="H118" i="8"/>
  <c r="I118" i="8"/>
  <c r="J118" i="8"/>
  <c r="K118" i="8"/>
  <c r="L118" i="8"/>
  <c r="E119" i="8"/>
  <c r="F119" i="8"/>
  <c r="G119" i="8"/>
  <c r="H119" i="8"/>
  <c r="I119" i="8"/>
  <c r="J119" i="8"/>
  <c r="K119" i="8"/>
  <c r="L119" i="8"/>
  <c r="E120" i="8"/>
  <c r="F120" i="8"/>
  <c r="G120" i="8"/>
  <c r="H120" i="8"/>
  <c r="I120" i="8"/>
  <c r="J120" i="8"/>
  <c r="K120" i="8"/>
  <c r="L120" i="8"/>
  <c r="M117" i="8"/>
  <c r="M119" i="8"/>
  <c r="M120" i="8"/>
  <c r="F86" i="8"/>
  <c r="G86" i="8"/>
  <c r="H86" i="8"/>
  <c r="I86" i="8"/>
  <c r="J86" i="8"/>
  <c r="K86" i="8"/>
  <c r="L86" i="8"/>
  <c r="M86" i="8"/>
  <c r="N86" i="8"/>
  <c r="O86" i="8"/>
  <c r="E86" i="8"/>
  <c r="N14" i="9" l="1"/>
  <c r="O9" i="17" l="1"/>
  <c r="O13" i="20" l="1"/>
  <c r="N13" i="20"/>
  <c r="M13" i="20"/>
  <c r="L13" i="20"/>
  <c r="K13" i="20"/>
  <c r="J13" i="20"/>
  <c r="I13" i="20"/>
  <c r="H13" i="20"/>
  <c r="G13" i="20"/>
  <c r="F13" i="20"/>
  <c r="E13" i="20"/>
  <c r="O9" i="20"/>
  <c r="N9" i="20"/>
  <c r="M9" i="20"/>
  <c r="L9" i="20"/>
  <c r="K9" i="20"/>
  <c r="K8" i="20" s="1"/>
  <c r="K43" i="20" s="1"/>
  <c r="J9" i="20"/>
  <c r="I9" i="20"/>
  <c r="H9" i="20"/>
  <c r="G9" i="20"/>
  <c r="F9" i="20"/>
  <c r="E9" i="20"/>
  <c r="O7" i="20"/>
  <c r="O41" i="20" s="1"/>
  <c r="N7" i="20"/>
  <c r="N41" i="20" s="1"/>
  <c r="M7" i="20"/>
  <c r="M41" i="20" s="1"/>
  <c r="L7" i="20"/>
  <c r="L41" i="20" s="1"/>
  <c r="K7" i="20"/>
  <c r="K41" i="20" s="1"/>
  <c r="J7" i="20"/>
  <c r="J41" i="20" s="1"/>
  <c r="I7" i="20"/>
  <c r="I41" i="20" s="1"/>
  <c r="H7" i="20"/>
  <c r="H41" i="20" s="1"/>
  <c r="G7" i="20"/>
  <c r="G41" i="20" s="1"/>
  <c r="F7" i="20"/>
  <c r="F41" i="20" s="1"/>
  <c r="E7" i="20"/>
  <c r="E41" i="20" s="1"/>
  <c r="O8" i="20" l="1"/>
  <c r="O43" i="20" s="1"/>
  <c r="G8" i="20"/>
  <c r="G43" i="20" s="1"/>
  <c r="H8" i="20"/>
  <c r="H43" i="20" s="1"/>
  <c r="J8" i="20"/>
  <c r="J43" i="20" s="1"/>
  <c r="I8" i="20"/>
  <c r="I43" i="20" s="1"/>
  <c r="L8" i="20"/>
  <c r="L43" i="20" s="1"/>
  <c r="M8" i="20"/>
  <c r="M43" i="20" s="1"/>
  <c r="E8" i="20"/>
  <c r="E43" i="20" s="1"/>
  <c r="F8" i="20"/>
  <c r="N8" i="20"/>
  <c r="N43" i="20" s="1"/>
  <c r="K14" i="20"/>
  <c r="K83" i="9" s="1"/>
  <c r="F14" i="20" l="1"/>
  <c r="F83" i="9" s="1"/>
  <c r="F43" i="20"/>
  <c r="M14" i="20"/>
  <c r="M83" i="9" s="1"/>
  <c r="I14" i="20"/>
  <c r="I83" i="9" s="1"/>
  <c r="J14" i="20"/>
  <c r="J83" i="9" s="1"/>
  <c r="N14" i="20"/>
  <c r="N83" i="9" s="1"/>
  <c r="E14" i="20"/>
  <c r="E83" i="9" s="1"/>
  <c r="L14" i="20"/>
  <c r="L83" i="9" s="1"/>
  <c r="O14" i="20"/>
  <c r="O83" i="9" s="1"/>
  <c r="H14" i="20"/>
  <c r="H83" i="9" s="1"/>
  <c r="G14" i="20"/>
  <c r="G83" i="9" s="1"/>
  <c r="N23" i="9"/>
  <c r="F60" i="9" l="1"/>
  <c r="G60" i="9"/>
  <c r="H60" i="9"/>
  <c r="I60" i="9"/>
  <c r="J60" i="9"/>
  <c r="K60" i="9"/>
  <c r="L60" i="9"/>
  <c r="M60" i="9"/>
  <c r="N60" i="9"/>
  <c r="N65" i="9" s="1"/>
  <c r="O65" i="9"/>
  <c r="F61" i="9"/>
  <c r="G61" i="9"/>
  <c r="H61" i="9"/>
  <c r="I61" i="9"/>
  <c r="J61" i="9"/>
  <c r="K61" i="9"/>
  <c r="L61" i="9"/>
  <c r="M61" i="9"/>
  <c r="N61" i="9"/>
  <c r="N66" i="9" s="1"/>
  <c r="O61" i="9"/>
  <c r="O66" i="9" s="1"/>
  <c r="F62" i="9"/>
  <c r="G62" i="9"/>
  <c r="H62" i="9"/>
  <c r="I62" i="9"/>
  <c r="J62" i="9"/>
  <c r="K62" i="9"/>
  <c r="L62" i="9"/>
  <c r="M62" i="9"/>
  <c r="N62" i="9"/>
  <c r="N67" i="9" s="1"/>
  <c r="O62" i="9"/>
  <c r="O67" i="9" s="1"/>
  <c r="F63" i="9"/>
  <c r="G63" i="9"/>
  <c r="H63" i="9"/>
  <c r="I63" i="9"/>
  <c r="J63" i="9"/>
  <c r="K63" i="9"/>
  <c r="L63" i="9"/>
  <c r="M63" i="9"/>
  <c r="N68" i="9"/>
  <c r="O63" i="9"/>
  <c r="O68" i="9" s="1"/>
  <c r="F64" i="9"/>
  <c r="G64" i="9"/>
  <c r="H64" i="9"/>
  <c r="I64" i="9"/>
  <c r="J64" i="9"/>
  <c r="K64" i="9"/>
  <c r="L64" i="9"/>
  <c r="M64" i="9"/>
  <c r="N64" i="9"/>
  <c r="N69" i="9" s="1"/>
  <c r="O64" i="9"/>
  <c r="O69" i="9" s="1"/>
  <c r="E64" i="9"/>
  <c r="E63" i="9"/>
  <c r="E62" i="9"/>
  <c r="E61" i="9"/>
  <c r="E60" i="9"/>
  <c r="O14" i="9" l="1"/>
  <c r="O29" i="19" l="1"/>
  <c r="O7" i="19"/>
  <c r="O32" i="19" s="1"/>
  <c r="O9" i="19"/>
  <c r="O8" i="19" s="1"/>
  <c r="O64" i="18"/>
  <c r="O67" i="18"/>
  <c r="O37" i="18"/>
  <c r="O10" i="18" s="1"/>
  <c r="O55" i="17"/>
  <c r="O8" i="17"/>
  <c r="O7" i="17" s="1"/>
  <c r="O58" i="17" s="1"/>
  <c r="O12" i="17"/>
  <c r="O21" i="17"/>
  <c r="O86" i="9" s="1"/>
  <c r="O8" i="16"/>
  <c r="O56" i="17" l="1"/>
  <c r="O30" i="19"/>
  <c r="O65" i="18"/>
  <c r="O10" i="17"/>
  <c r="O19" i="17" s="1"/>
  <c r="O84" i="9" s="1"/>
  <c r="O11" i="17"/>
  <c r="O41" i="16"/>
  <c r="O38" i="18"/>
  <c r="O87" i="9" s="1"/>
  <c r="O20" i="17"/>
  <c r="O85" i="9" s="1"/>
  <c r="O13" i="19"/>
  <c r="O90" i="9" s="1"/>
  <c r="O14" i="16"/>
  <c r="O82" i="9" s="1"/>
  <c r="O85" i="8" l="1"/>
  <c r="O84" i="8"/>
  <c r="O83" i="8"/>
  <c r="O82" i="8"/>
  <c r="O81" i="8"/>
  <c r="O132" i="8"/>
  <c r="O131" i="8"/>
  <c r="O130" i="8"/>
  <c r="E9" i="19" l="1"/>
  <c r="E8" i="19" s="1"/>
  <c r="F9" i="19"/>
  <c r="F8" i="19" s="1"/>
  <c r="G9" i="19"/>
  <c r="G8" i="19" s="1"/>
  <c r="H9" i="19"/>
  <c r="H8" i="19" s="1"/>
  <c r="E37" i="18" l="1"/>
  <c r="F37" i="18"/>
  <c r="G37" i="18"/>
  <c r="H37" i="18"/>
  <c r="I37" i="18"/>
  <c r="E67" i="18"/>
  <c r="F67" i="18"/>
  <c r="G67" i="18"/>
  <c r="H67" i="18"/>
  <c r="I67" i="18"/>
  <c r="J67" i="18"/>
  <c r="K67" i="18"/>
  <c r="L67" i="18"/>
  <c r="E12" i="17"/>
  <c r="F12" i="17"/>
  <c r="G12" i="17"/>
  <c r="H12" i="17"/>
  <c r="I12" i="17"/>
  <c r="J12" i="17"/>
  <c r="K12" i="17"/>
  <c r="L12" i="17"/>
  <c r="E13" i="17"/>
  <c r="F13" i="17"/>
  <c r="G13" i="17"/>
  <c r="H13" i="17"/>
  <c r="I13" i="17"/>
  <c r="J13" i="17"/>
  <c r="K13" i="17"/>
  <c r="L13" i="17"/>
  <c r="E18" i="17"/>
  <c r="F18" i="17"/>
  <c r="G18" i="17"/>
  <c r="H18" i="17"/>
  <c r="I18" i="17"/>
  <c r="J18" i="17"/>
  <c r="K18" i="17"/>
  <c r="L18" i="17"/>
  <c r="E8" i="17"/>
  <c r="F8" i="17"/>
  <c r="G8" i="17"/>
  <c r="H8" i="17"/>
  <c r="I8" i="17"/>
  <c r="J8" i="17"/>
  <c r="K8" i="17"/>
  <c r="E9" i="17"/>
  <c r="F9" i="17"/>
  <c r="G9" i="17"/>
  <c r="H9" i="17"/>
  <c r="I9" i="17"/>
  <c r="J9" i="17"/>
  <c r="K9" i="17"/>
  <c r="M8" i="17"/>
  <c r="M9" i="17"/>
  <c r="E8" i="16"/>
  <c r="F8" i="16"/>
  <c r="H8" i="16"/>
  <c r="E7" i="17" l="1"/>
  <c r="E58" i="17" s="1"/>
  <c r="I7" i="17"/>
  <c r="M7" i="17"/>
  <c r="H7" i="17"/>
  <c r="H58" i="17" s="1"/>
  <c r="K7" i="17"/>
  <c r="G7" i="17"/>
  <c r="G58" i="17" s="1"/>
  <c r="J7" i="17"/>
  <c r="F20" i="17"/>
  <c r="F85" i="9" s="1"/>
  <c r="F7" i="17"/>
  <c r="F58" i="17" s="1"/>
  <c r="J8" i="16"/>
  <c r="G8" i="16"/>
  <c r="L8" i="16"/>
  <c r="I10" i="17"/>
  <c r="I11" i="17"/>
  <c r="H11" i="17"/>
  <c r="H10" i="17"/>
  <c r="G10" i="17"/>
  <c r="G11" i="17"/>
  <c r="E10" i="17"/>
  <c r="E11" i="17"/>
  <c r="K10" i="17"/>
  <c r="K11" i="17"/>
  <c r="J11" i="17"/>
  <c r="J10" i="17"/>
  <c r="F11" i="17"/>
  <c r="F10" i="17"/>
  <c r="L11" i="17"/>
  <c r="L10" i="17"/>
  <c r="M8" i="16"/>
  <c r="E10" i="18"/>
  <c r="E88" i="9"/>
  <c r="G88" i="9"/>
  <c r="G10" i="18"/>
  <c r="G38" i="18" s="1"/>
  <c r="G87" i="9" s="1"/>
  <c r="F10" i="18"/>
  <c r="F38" i="18" s="1"/>
  <c r="F87" i="9" s="1"/>
  <c r="F88" i="9"/>
  <c r="L88" i="9"/>
  <c r="K88" i="9"/>
  <c r="J88" i="9"/>
  <c r="I10" i="18"/>
  <c r="I88" i="9"/>
  <c r="H88" i="9"/>
  <c r="H10" i="18"/>
  <c r="H38" i="18" s="1"/>
  <c r="H87" i="9" s="1"/>
  <c r="I8" i="16"/>
  <c r="K8" i="16"/>
  <c r="H20" i="17"/>
  <c r="H85" i="9" s="1"/>
  <c r="G20" i="17"/>
  <c r="G85" i="9" s="1"/>
  <c r="E20" i="17"/>
  <c r="E85" i="9" s="1"/>
  <c r="H21" i="17"/>
  <c r="H86" i="9" s="1"/>
  <c r="F21" i="17"/>
  <c r="F86" i="9" s="1"/>
  <c r="G21" i="17"/>
  <c r="G86" i="9" s="1"/>
  <c r="E21" i="17"/>
  <c r="E86" i="9" s="1"/>
  <c r="E19" i="17" l="1"/>
  <c r="E84" i="9" s="1"/>
  <c r="G19" i="17"/>
  <c r="G84" i="9" s="1"/>
  <c r="H19" i="17"/>
  <c r="H84" i="9" s="1"/>
  <c r="E38" i="18"/>
  <c r="E87" i="9" s="1"/>
  <c r="F19" i="17"/>
  <c r="F84" i="9" s="1"/>
  <c r="E25" i="9"/>
  <c r="F25" i="9"/>
  <c r="G25" i="9"/>
  <c r="G81" i="9" s="1"/>
  <c r="H25" i="9"/>
  <c r="H81" i="9" s="1"/>
  <c r="I25" i="9"/>
  <c r="J25" i="9"/>
  <c r="L73" i="9"/>
  <c r="L25" i="9" s="1"/>
  <c r="M73" i="9"/>
  <c r="M25" i="9" s="1"/>
  <c r="I68" i="9" l="1"/>
  <c r="I66" i="9"/>
  <c r="I65" i="9"/>
  <c r="I67" i="9"/>
  <c r="I69" i="9"/>
  <c r="E66" i="9"/>
  <c r="E67" i="9"/>
  <c r="E65" i="9"/>
  <c r="E68" i="9"/>
  <c r="E69" i="9"/>
  <c r="J66" i="9"/>
  <c r="J68" i="9"/>
  <c r="J67" i="9"/>
  <c r="J69" i="9"/>
  <c r="J65" i="9"/>
  <c r="H69" i="9"/>
  <c r="H67" i="9"/>
  <c r="H68" i="9"/>
  <c r="H66" i="9"/>
  <c r="H65" i="9"/>
  <c r="G68" i="9"/>
  <c r="G65" i="9"/>
  <c r="G67" i="9"/>
  <c r="G69" i="9"/>
  <c r="G66" i="9"/>
  <c r="F69" i="9"/>
  <c r="F67" i="9"/>
  <c r="F68" i="9"/>
  <c r="F65" i="9"/>
  <c r="F66" i="9"/>
  <c r="E81" i="9"/>
  <c r="M69" i="9"/>
  <c r="M68" i="9"/>
  <c r="M67" i="9"/>
  <c r="M65" i="9"/>
  <c r="M66" i="9"/>
  <c r="L69" i="9"/>
  <c r="L65" i="9"/>
  <c r="L68" i="9"/>
  <c r="L66" i="9"/>
  <c r="L67" i="9"/>
  <c r="F81" i="9"/>
  <c r="M83" i="8"/>
  <c r="E85" i="8" l="1"/>
  <c r="F85" i="8"/>
  <c r="G85" i="8"/>
  <c r="H85" i="8"/>
  <c r="I85" i="8"/>
  <c r="J85" i="8"/>
  <c r="K85" i="8"/>
  <c r="L85" i="8"/>
  <c r="M85" i="8"/>
  <c r="N85" i="8"/>
  <c r="F84" i="8"/>
  <c r="G84" i="8"/>
  <c r="H84" i="8"/>
  <c r="I84" i="8"/>
  <c r="J84" i="8"/>
  <c r="K84" i="8"/>
  <c r="L84" i="8"/>
  <c r="M84" i="8"/>
  <c r="N84" i="8"/>
  <c r="E84" i="8"/>
  <c r="E82" i="8"/>
  <c r="F82" i="8"/>
  <c r="G82" i="8"/>
  <c r="H82" i="8"/>
  <c r="I82" i="8"/>
  <c r="J82" i="8"/>
  <c r="K82" i="8"/>
  <c r="L82" i="8"/>
  <c r="M82" i="8"/>
  <c r="N82" i="8"/>
  <c r="I83" i="8"/>
  <c r="J83" i="8"/>
  <c r="K83" i="8"/>
  <c r="L83" i="8"/>
  <c r="N83" i="8"/>
  <c r="F81" i="8"/>
  <c r="G81" i="8"/>
  <c r="H81" i="8"/>
  <c r="I81" i="8"/>
  <c r="J81" i="8"/>
  <c r="K81" i="8"/>
  <c r="L81" i="8"/>
  <c r="M81" i="8"/>
  <c r="N81" i="8"/>
  <c r="E81" i="8"/>
  <c r="E128" i="8"/>
  <c r="F128" i="8"/>
  <c r="G128" i="8"/>
  <c r="H128" i="8"/>
  <c r="N132" i="8" l="1"/>
  <c r="L132" i="8"/>
  <c r="M132" i="8"/>
  <c r="N129" i="8"/>
  <c r="N130" i="8"/>
  <c r="N131" i="8"/>
  <c r="F29" i="19" l="1"/>
  <c r="G29" i="19"/>
  <c r="H29" i="19"/>
  <c r="I29" i="19"/>
  <c r="J29" i="19"/>
  <c r="K29" i="19"/>
  <c r="L29" i="19"/>
  <c r="M29" i="19"/>
  <c r="N29" i="19"/>
  <c r="E29" i="19"/>
  <c r="J9" i="19"/>
  <c r="J8" i="19" s="1"/>
  <c r="K9" i="19"/>
  <c r="K8" i="19" s="1"/>
  <c r="L9" i="19"/>
  <c r="L8" i="19" s="1"/>
  <c r="M9" i="19"/>
  <c r="M8" i="19" s="1"/>
  <c r="N9" i="19"/>
  <c r="N8" i="19" s="1"/>
  <c r="I9" i="19"/>
  <c r="I8" i="19" s="1"/>
  <c r="F7" i="19"/>
  <c r="F32" i="19" s="1"/>
  <c r="G7" i="19"/>
  <c r="G32" i="19" s="1"/>
  <c r="H7" i="19"/>
  <c r="H32" i="19" s="1"/>
  <c r="I7" i="19"/>
  <c r="I32" i="19" s="1"/>
  <c r="J7" i="19"/>
  <c r="J32" i="19" s="1"/>
  <c r="K7" i="19"/>
  <c r="K32" i="19" s="1"/>
  <c r="L7" i="19"/>
  <c r="L32" i="19" s="1"/>
  <c r="M7" i="19"/>
  <c r="M32" i="19" s="1"/>
  <c r="N7" i="19"/>
  <c r="N32" i="19" s="1"/>
  <c r="E7" i="19"/>
  <c r="E32" i="19" s="1"/>
  <c r="F64" i="18"/>
  <c r="F65" i="18" s="1"/>
  <c r="G64" i="18"/>
  <c r="G65" i="18" s="1"/>
  <c r="H64" i="18"/>
  <c r="H65" i="18" s="1"/>
  <c r="I64" i="18"/>
  <c r="I65" i="18" s="1"/>
  <c r="J64" i="18"/>
  <c r="J65" i="18" s="1"/>
  <c r="K64" i="18"/>
  <c r="K65" i="18" s="1"/>
  <c r="L64" i="18"/>
  <c r="L65" i="18" s="1"/>
  <c r="M64" i="18"/>
  <c r="N64" i="18"/>
  <c r="E64" i="18"/>
  <c r="E65" i="18" s="1"/>
  <c r="J37" i="18"/>
  <c r="J10" i="18" s="1"/>
  <c r="K37" i="18"/>
  <c r="K10" i="18" s="1"/>
  <c r="L37" i="18"/>
  <c r="L10" i="18" s="1"/>
  <c r="M37" i="18"/>
  <c r="N37" i="18"/>
  <c r="N10" i="18" s="1"/>
  <c r="N38" i="18" s="1"/>
  <c r="M67" i="18"/>
  <c r="N67" i="18"/>
  <c r="K30" i="19" l="1"/>
  <c r="M30" i="19"/>
  <c r="L30" i="19"/>
  <c r="J30" i="19"/>
  <c r="I30" i="19"/>
  <c r="H30" i="19"/>
  <c r="E30" i="19"/>
  <c r="G30" i="19"/>
  <c r="N30" i="19"/>
  <c r="F30" i="19"/>
  <c r="N65" i="18"/>
  <c r="M65" i="18"/>
  <c r="N87" i="9"/>
  <c r="N88" i="9"/>
  <c r="M10" i="18"/>
  <c r="M38" i="18" s="1"/>
  <c r="M87" i="9" s="1"/>
  <c r="M88" i="9"/>
  <c r="H13" i="19"/>
  <c r="H90" i="9" s="1"/>
  <c r="E13" i="19"/>
  <c r="E90" i="9" s="1"/>
  <c r="G13" i="19"/>
  <c r="G90" i="9" s="1"/>
  <c r="F13" i="19"/>
  <c r="F90" i="9" s="1"/>
  <c r="J38" i="18"/>
  <c r="J87" i="9" s="1"/>
  <c r="F83" i="8"/>
  <c r="E83" i="8"/>
  <c r="H83" i="8"/>
  <c r="G83" i="8"/>
  <c r="I38" i="18"/>
  <c r="I87" i="9" s="1"/>
  <c r="L38" i="18"/>
  <c r="L87" i="9" s="1"/>
  <c r="K38" i="18"/>
  <c r="K87" i="9" s="1"/>
  <c r="I13" i="19"/>
  <c r="I90" i="9" s="1"/>
  <c r="N13" i="19"/>
  <c r="N90" i="9" s="1"/>
  <c r="K13" i="19"/>
  <c r="K90" i="9" s="1"/>
  <c r="J13" i="19"/>
  <c r="J90" i="9" s="1"/>
  <c r="L13" i="19"/>
  <c r="L90" i="9" s="1"/>
  <c r="M13" i="19"/>
  <c r="M90" i="9" s="1"/>
  <c r="F55" i="17"/>
  <c r="F56" i="17" s="1"/>
  <c r="G55" i="17"/>
  <c r="G56" i="17" s="1"/>
  <c r="H55" i="17"/>
  <c r="H56" i="17" s="1"/>
  <c r="I55" i="17"/>
  <c r="J55" i="17"/>
  <c r="K55" i="17"/>
  <c r="L55" i="17"/>
  <c r="M55" i="17"/>
  <c r="N55" i="17"/>
  <c r="E55" i="17"/>
  <c r="E56" i="17" s="1"/>
  <c r="M18" i="17"/>
  <c r="M13" i="17"/>
  <c r="M12" i="17"/>
  <c r="N12" i="17"/>
  <c r="L9" i="17"/>
  <c r="N9" i="17"/>
  <c r="L8" i="17"/>
  <c r="N8" i="17"/>
  <c r="N7" i="17" s="1"/>
  <c r="N58" i="17" s="1"/>
  <c r="I58" i="17"/>
  <c r="J58" i="17"/>
  <c r="K58" i="17"/>
  <c r="M58" i="17"/>
  <c r="F40" i="16"/>
  <c r="G40" i="16"/>
  <c r="H40" i="16"/>
  <c r="I40" i="16"/>
  <c r="J40" i="16"/>
  <c r="K40" i="16"/>
  <c r="L40" i="16"/>
  <c r="M40" i="16"/>
  <c r="N40" i="16"/>
  <c r="E40" i="16"/>
  <c r="F7" i="16"/>
  <c r="F43" i="16" s="1"/>
  <c r="G7" i="16"/>
  <c r="G43" i="16" s="1"/>
  <c r="H7" i="16"/>
  <c r="I7" i="16"/>
  <c r="I43" i="16" s="1"/>
  <c r="J7" i="16"/>
  <c r="J43" i="16" s="1"/>
  <c r="K7" i="16"/>
  <c r="K43" i="16" s="1"/>
  <c r="L7" i="16"/>
  <c r="L43" i="16" s="1"/>
  <c r="M7" i="16"/>
  <c r="M43" i="16" s="1"/>
  <c r="N7" i="16"/>
  <c r="N43" i="16" s="1"/>
  <c r="E7" i="16"/>
  <c r="E43" i="16" s="1"/>
  <c r="L7" i="17" l="1"/>
  <c r="L58" i="17" s="1"/>
  <c r="I41" i="16"/>
  <c r="J41" i="16"/>
  <c r="L41" i="16"/>
  <c r="K41" i="16"/>
  <c r="N11" i="17"/>
  <c r="N10" i="17"/>
  <c r="N19" i="17" s="1"/>
  <c r="N84" i="9" s="1"/>
  <c r="M11" i="17"/>
  <c r="M10" i="17"/>
  <c r="M19" i="17" s="1"/>
  <c r="M84" i="9" s="1"/>
  <c r="I56" i="17"/>
  <c r="H14" i="16"/>
  <c r="H82" i="9" s="1"/>
  <c r="H43" i="16"/>
  <c r="H41" i="16"/>
  <c r="E41" i="16"/>
  <c r="G41" i="16"/>
  <c r="N41" i="16"/>
  <c r="F41" i="16"/>
  <c r="M41" i="16"/>
  <c r="K56" i="17"/>
  <c r="N56" i="17"/>
  <c r="M56" i="17"/>
  <c r="L56" i="17"/>
  <c r="J56" i="17"/>
  <c r="N8" i="16"/>
  <c r="N14" i="16" s="1"/>
  <c r="N82" i="9" s="1"/>
  <c r="E14" i="16"/>
  <c r="E82" i="9" s="1"/>
  <c r="G14" i="16"/>
  <c r="G82" i="9" s="1"/>
  <c r="F14" i="16"/>
  <c r="F82" i="9" s="1"/>
  <c r="L21" i="17"/>
  <c r="L86" i="9" s="1"/>
  <c r="N20" i="17"/>
  <c r="N85" i="9" s="1"/>
  <c r="J14" i="16"/>
  <c r="J82" i="9" s="1"/>
  <c r="K14" i="16"/>
  <c r="K82" i="9" s="1"/>
  <c r="J19" i="17"/>
  <c r="J84" i="9" s="1"/>
  <c r="M21" i="17"/>
  <c r="M86" i="9" s="1"/>
  <c r="N21" i="17"/>
  <c r="N86" i="9" s="1"/>
  <c r="I14" i="16"/>
  <c r="I82" i="9" s="1"/>
  <c r="M14" i="16"/>
  <c r="M82" i="9" s="1"/>
  <c r="L14" i="16"/>
  <c r="L82" i="9" s="1"/>
  <c r="I19" i="17"/>
  <c r="I84" i="9" s="1"/>
  <c r="L19" i="17"/>
  <c r="L84" i="9" s="1"/>
  <c r="K20" i="17"/>
  <c r="K85" i="9" s="1"/>
  <c r="K19" i="17"/>
  <c r="K84" i="9" s="1"/>
  <c r="K21" i="17"/>
  <c r="K86" i="9" s="1"/>
  <c r="M20" i="17"/>
  <c r="M85" i="9" s="1"/>
  <c r="J21" i="17"/>
  <c r="J86" i="9" s="1"/>
  <c r="L20" i="17"/>
  <c r="L85" i="9" s="1"/>
  <c r="I21" i="17"/>
  <c r="I86" i="9" s="1"/>
  <c r="I20" i="17"/>
  <c r="I85" i="9" s="1"/>
  <c r="J20" i="17"/>
  <c r="J85" i="9" s="1"/>
  <c r="H129" i="8" l="1"/>
  <c r="F129" i="8"/>
  <c r="G129" i="8"/>
  <c r="E130" i="8"/>
  <c r="F130" i="8"/>
  <c r="G130" i="8"/>
  <c r="H130" i="8"/>
  <c r="E131" i="8"/>
  <c r="F131" i="8"/>
  <c r="H131" i="8"/>
  <c r="E132" i="8"/>
  <c r="F132" i="8"/>
  <c r="G132" i="8"/>
  <c r="J129" i="8"/>
  <c r="K129" i="8"/>
  <c r="L129" i="8"/>
  <c r="M129" i="8"/>
  <c r="J130" i="8"/>
  <c r="K130" i="8"/>
  <c r="L130" i="8"/>
  <c r="M130" i="8"/>
  <c r="J131" i="8"/>
  <c r="K131" i="8"/>
  <c r="L131" i="8"/>
  <c r="M131" i="8"/>
  <c r="J132" i="8"/>
  <c r="K132" i="8"/>
  <c r="I132" i="8"/>
  <c r="I131" i="8"/>
  <c r="I130" i="8"/>
  <c r="I129" i="8"/>
  <c r="I128" i="8"/>
  <c r="J128" i="8"/>
  <c r="M128" i="8"/>
  <c r="N128" i="8"/>
  <c r="M81" i="9" l="1"/>
  <c r="L81" i="9" l="1"/>
  <c r="J81" i="9"/>
  <c r="I81" i="9"/>
  <c r="O76" i="14" l="1"/>
  <c r="O75" i="14"/>
  <c r="K73" i="9" l="1"/>
  <c r="K25" i="9" s="1"/>
  <c r="K67" i="9" s="1"/>
  <c r="K23" i="9"/>
  <c r="O74" i="14" l="1"/>
  <c r="K68" i="9"/>
  <c r="K65" i="9"/>
  <c r="K66" i="9"/>
  <c r="K81" i="9"/>
  <c r="K69" i="9"/>
  <c r="P126" i="14"/>
  <c r="P127" i="14" s="1"/>
  <c r="O126" i="14"/>
  <c r="O127" i="14" s="1"/>
  <c r="Q126" i="14" l="1"/>
  <c r="Q127" i="14" s="1"/>
  <c r="Q158" i="14"/>
  <c r="Q165" i="14" l="1"/>
  <c r="P165" i="14"/>
  <c r="O163" i="8"/>
  <c r="N16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Anaelle CHRETIEN</author>
  </authors>
  <commentList>
    <comment ref="G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Anaelle CHRETIEN:</t>
        </r>
        <r>
          <rPr>
            <sz val="9"/>
            <color indexed="81"/>
            <rFont val="Tahoma"/>
            <family val="2"/>
          </rPr>
          <t xml:space="preserve">
Donnée récupérée des anciens tdb D:\SYDEREP\Admin EMB\Docs de travail\3.Livrables\4_Tableau de bord - à finaliser\2018-2019
Tableau de bord_ filière EMB_Données RA CITEO - v5_sans dispers</t>
        </r>
      </text>
    </comment>
  </commentList>
</comments>
</file>

<file path=xl/sharedStrings.xml><?xml version="1.0" encoding="utf-8"?>
<sst xmlns="http://schemas.openxmlformats.org/spreadsheetml/2006/main" count="2117" uniqueCount="488">
  <si>
    <t>Unité</t>
  </si>
  <si>
    <t>nb</t>
  </si>
  <si>
    <t>€/t</t>
  </si>
  <si>
    <t>%</t>
  </si>
  <si>
    <t>Montant total de l'éco-contribution</t>
  </si>
  <si>
    <t>Taux de recyclage</t>
  </si>
  <si>
    <t>Année de déclaration</t>
  </si>
  <si>
    <t>Année opérationnelle</t>
  </si>
  <si>
    <t>Données de Collecte et tri</t>
  </si>
  <si>
    <t>M€</t>
  </si>
  <si>
    <t>Données calculées</t>
  </si>
  <si>
    <t>kt</t>
  </si>
  <si>
    <t>hab</t>
  </si>
  <si>
    <t>Tonnages recyclés et soutenus</t>
  </si>
  <si>
    <t>Acier</t>
  </si>
  <si>
    <t>Aluminium</t>
  </si>
  <si>
    <t>Papier/Carton</t>
  </si>
  <si>
    <t>Plastique</t>
  </si>
  <si>
    <t>Verre</t>
  </si>
  <si>
    <t>Autres</t>
  </si>
  <si>
    <t>Coûts nets de référence d'un service de collecte et de tri optimisé</t>
  </si>
  <si>
    <t>Tonnages contribuants</t>
  </si>
  <si>
    <t>Données ARC</t>
  </si>
  <si>
    <t>Eco-Contribution</t>
  </si>
  <si>
    <t>Autres modes de traitement</t>
  </si>
  <si>
    <t>Montant total de l'éco-modulation : Bonus</t>
  </si>
  <si>
    <t>Montant total de l'éco-modulation : Malus</t>
  </si>
  <si>
    <t>Sommaire</t>
  </si>
  <si>
    <t>Nombre d'entreprises avec accompagnement à l'éco-conception</t>
  </si>
  <si>
    <t>Contractualisation avec les collectivités</t>
  </si>
  <si>
    <t>Entreprises adhérentes</t>
  </si>
  <si>
    <t>Contractualisation spécifique avec d'autres acteurs</t>
  </si>
  <si>
    <t xml:space="preserve">Avec des structures privées sur la consommation hors foyer </t>
  </si>
  <si>
    <t>Tonnage collecté associé en hors foyer</t>
  </si>
  <si>
    <t>Lexique</t>
  </si>
  <si>
    <t>CS</t>
  </si>
  <si>
    <t>Collecte sélective</t>
  </si>
  <si>
    <t xml:space="preserve">TMB </t>
  </si>
  <si>
    <t>Tri Mécano-Biologique</t>
  </si>
  <si>
    <t>PCC</t>
  </si>
  <si>
    <t>Papier Carton Complexé</t>
  </si>
  <si>
    <t>Objectif de recyclage global</t>
  </si>
  <si>
    <t>Fiche matériau - Aluminium</t>
  </si>
  <si>
    <t>Tonnage contribuant</t>
  </si>
  <si>
    <t>Tonnage recyclé</t>
  </si>
  <si>
    <t xml:space="preserve">% tonnage recyclé export hors Europe </t>
  </si>
  <si>
    <t>Données économiques</t>
  </si>
  <si>
    <t>Tonnages contribuants et recyclés</t>
  </si>
  <si>
    <t>% tonnage recyclé localement DOM-COM</t>
  </si>
  <si>
    <t>Indicateurs relatifs à la mise sur le marché</t>
  </si>
  <si>
    <t>Fiches matériaux :</t>
  </si>
  <si>
    <t>Prix de reprise CS</t>
  </si>
  <si>
    <t>Prix de reprise mâchefers</t>
  </si>
  <si>
    <t>Total des dépenses</t>
  </si>
  <si>
    <t>Détail des dépenses autres que les soutiens directs aux CL</t>
  </si>
  <si>
    <t>Soutiens transport et filières</t>
  </si>
  <si>
    <t>Dépenses de sensibilisation et de communication</t>
  </si>
  <si>
    <t>Recettes industrielles liées au prix de reprise des emballages ménagers</t>
  </si>
  <si>
    <t>Soutiens apportés par les E.O.</t>
  </si>
  <si>
    <t>Taux de couverture des coûts nets de référence</t>
  </si>
  <si>
    <t>Bilan de la reprise - Mâchefers</t>
  </si>
  <si>
    <t xml:space="preserve">    % tonnage option filière</t>
  </si>
  <si>
    <t xml:space="preserve">    % tonnage option fédérations</t>
  </si>
  <si>
    <t xml:space="preserve">    % tonnage option individuelle</t>
  </si>
  <si>
    <t>% tonnage recyclé export Europe</t>
  </si>
  <si>
    <t>Bilan de la reprise - CS</t>
  </si>
  <si>
    <t>Eco-contribution par tonne</t>
  </si>
  <si>
    <t>Charges affectables par tonne</t>
  </si>
  <si>
    <t xml:space="preserve">    Papier/Carton Complexé</t>
  </si>
  <si>
    <t xml:space="preserve">    Papier/Carton Non Complexé</t>
  </si>
  <si>
    <t xml:space="preserve">    dont Papier/Carton Complexé (PCC)</t>
  </si>
  <si>
    <t xml:space="preserve">    dont Papier/Carton Non Complexé (PCNC)</t>
  </si>
  <si>
    <t>Tonnage contribuant total</t>
  </si>
  <si>
    <t>Tonnage soutenu de refus de tri en récupération énergétique</t>
  </si>
  <si>
    <t>Indicateurs relatifs à la collecte et au tri</t>
  </si>
  <si>
    <t>Total charges affectables (soutien recyclage aux collectivités ; aide aux zones éloignées ; action Eco-Organisme)</t>
  </si>
  <si>
    <t xml:space="preserve">Variation de la provision </t>
  </si>
  <si>
    <t>Soutien au développement durable (Sdd)</t>
  </si>
  <si>
    <t>Soutien à la performance de recyclage (Spr)</t>
  </si>
  <si>
    <t>Soutien à l'action de sensibilisation auprès des citoyens (Sas = Tsc + Tsa)</t>
  </si>
  <si>
    <t>Soutien aux autres valorisations (Sav = Tum + Tvo + Tce + Tesc)</t>
  </si>
  <si>
    <t>Soutien à la connaissance des coûts (Scc)</t>
  </si>
  <si>
    <t>Fiche matériau - Acier</t>
  </si>
  <si>
    <t>Fiche matériau - Papier/Carton</t>
  </si>
  <si>
    <t>Taux de recyclage total PC</t>
  </si>
  <si>
    <t>Tonnage contribuant total PC</t>
  </si>
  <si>
    <t xml:space="preserve">    Taux de recyclage PCNC</t>
  </si>
  <si>
    <t xml:space="preserve">    Taux de recyclage PCC</t>
  </si>
  <si>
    <t>Bilan de la reprise - PCNC</t>
  </si>
  <si>
    <t>Bilan de la reprise - PCC</t>
  </si>
  <si>
    <t>Non collecté</t>
  </si>
  <si>
    <t>Fiche matériau - Plastique</t>
  </si>
  <si>
    <t>Taux de recyclage total</t>
  </si>
  <si>
    <t>Fiche matériau - Verre</t>
  </si>
  <si>
    <t>Bilan de la reprise - Verre CS</t>
  </si>
  <si>
    <t>Provision cumulée</t>
  </si>
  <si>
    <t>PCNC</t>
  </si>
  <si>
    <t>Papier Carton Non Complexé</t>
  </si>
  <si>
    <t>OMR</t>
  </si>
  <si>
    <t>Ordures Ménagères Résiduelles</t>
  </si>
  <si>
    <t>RVM</t>
  </si>
  <si>
    <t>Tonnages recyclés et soutenus - Total</t>
  </si>
  <si>
    <t>Total collecte spécifique</t>
  </si>
  <si>
    <t>Total collecte sélective</t>
  </si>
  <si>
    <t>Total hors collecte sélective</t>
  </si>
  <si>
    <t xml:space="preserve">  Acier CS</t>
  </si>
  <si>
    <t xml:space="preserve">  Acier mâchefers, compost et TMB</t>
  </si>
  <si>
    <t xml:space="preserve">  Aluminium CS</t>
  </si>
  <si>
    <t xml:space="preserve">  Aluminium mâchefers, compost et TMB</t>
  </si>
  <si>
    <t xml:space="preserve">  Papier/Carton compost</t>
  </si>
  <si>
    <t xml:space="preserve">  Plastique CS</t>
  </si>
  <si>
    <t xml:space="preserve">  Plastique TMB</t>
  </si>
  <si>
    <t xml:space="preserve">  Verre CS</t>
  </si>
  <si>
    <t xml:space="preserve">  Total Pourvoi</t>
  </si>
  <si>
    <t xml:space="preserve">  Total Hors foyer</t>
  </si>
  <si>
    <t xml:space="preserve">  Total RVM</t>
  </si>
  <si>
    <t>Reverse Vending Machine</t>
  </si>
  <si>
    <t>Soutien au transport (SAZE)</t>
  </si>
  <si>
    <t>Données réelles</t>
  </si>
  <si>
    <t>Non applicable</t>
  </si>
  <si>
    <t>Données manquantes</t>
  </si>
  <si>
    <t>Légende</t>
  </si>
  <si>
    <t>Recettes et coûts</t>
  </si>
  <si>
    <t>Calcul</t>
  </si>
  <si>
    <t xml:space="preserve">    dont Bouteilles et flacons</t>
  </si>
  <si>
    <t xml:space="preserve">    dont Autres emballages plastiques</t>
  </si>
  <si>
    <t>Dispersion des soutiens par habitant</t>
  </si>
  <si>
    <t>2 à 4 €/hab</t>
  </si>
  <si>
    <t>4 à 6 €/hab</t>
  </si>
  <si>
    <t>6 à 8 €/hab</t>
  </si>
  <si>
    <t>8 à 10 €/hab</t>
  </si>
  <si>
    <t>10 à 12 €/hab</t>
  </si>
  <si>
    <t>12 à 14 €/hab</t>
  </si>
  <si>
    <t>&gt; 14 €/hab</t>
  </si>
  <si>
    <t>&lt; 2 €/hab</t>
  </si>
  <si>
    <t>Performance cumulée (kg/hab)</t>
  </si>
  <si>
    <t>&lt; 8</t>
  </si>
  <si>
    <t>8 à 12</t>
  </si>
  <si>
    <t>12 à 16</t>
  </si>
  <si>
    <t>&gt;16</t>
  </si>
  <si>
    <t>Source</t>
  </si>
  <si>
    <t>SYDEREP</t>
  </si>
  <si>
    <t>Contribution unitaire</t>
  </si>
  <si>
    <t>Soutien au Barème E (après passage au Barème F)</t>
  </si>
  <si>
    <t xml:space="preserve">      dont bouteilles et flacons</t>
  </si>
  <si>
    <t xml:space="preserve">      dont autres plastiques</t>
  </si>
  <si>
    <t xml:space="preserve">  % Acier total</t>
  </si>
  <si>
    <t xml:space="preserve">  % Aluminium total</t>
  </si>
  <si>
    <t xml:space="preserve">  % Verre total</t>
  </si>
  <si>
    <t xml:space="preserve">  % Papier/Carton total</t>
  </si>
  <si>
    <t xml:space="preserve">  % Plastique total</t>
  </si>
  <si>
    <t>PRDOM</t>
  </si>
  <si>
    <t>SACCOMP</t>
  </si>
  <si>
    <t>SAS</t>
  </si>
  <si>
    <t>SCC</t>
  </si>
  <si>
    <t>SPR</t>
  </si>
  <si>
    <t>STRANS</t>
  </si>
  <si>
    <t>TUM</t>
  </si>
  <si>
    <t>TVOMR</t>
  </si>
  <si>
    <t>TVRT</t>
  </si>
  <si>
    <t>TORGA</t>
  </si>
  <si>
    <t>Soutien majoration DOM-COM (Prdom)</t>
  </si>
  <si>
    <t>Soutien spécifique à la valorisation organique des papiers cartons pour les collectivités ultra marines (Svo/Torga)</t>
  </si>
  <si>
    <t>Soutien financiers à la valorisation énergétique des emballages dans les refus issus des CDT (Sve Refus/TVRT)</t>
  </si>
  <si>
    <t>Soutien à la valorisation énergétique des emballages restant dans les OMR (Sve OMR/Tvomr)</t>
  </si>
  <si>
    <t>Soutien à la transition (STT/Strans)</t>
  </si>
  <si>
    <t>Soutien à l’action de sensibilisation (Sas=Scom+Sadt)</t>
  </si>
  <si>
    <t>Légende source</t>
  </si>
  <si>
    <t>Données de mise sur le marché</t>
  </si>
  <si>
    <t>%EC Acier (hors contribution unitaire)</t>
  </si>
  <si>
    <t>%EC Aluminium (hors contribution unitaire)</t>
  </si>
  <si>
    <t>%EC Papier/Carton (hors contribution unitaire)</t>
  </si>
  <si>
    <t>%EC Plastique (hors contribution unitaire)</t>
  </si>
  <si>
    <t>%EC Verre (hors contribution unitaire)</t>
  </si>
  <si>
    <t>Eco-contribution moyenne (yc contribution unitaire)</t>
  </si>
  <si>
    <t xml:space="preserve">Acier (hors contribution unitaire) </t>
  </si>
  <si>
    <t xml:space="preserve">Aluminium (hors contribution unitaire) </t>
  </si>
  <si>
    <t xml:space="preserve">Papier/Carton (hors contribution unitaire) </t>
  </si>
  <si>
    <t xml:space="preserve">Plastique (hors contribution unitaire) </t>
  </si>
  <si>
    <t xml:space="preserve">Verre (hors contribution unitaire) </t>
  </si>
  <si>
    <t>% de la population contractuelle totale / INSEE référence</t>
  </si>
  <si>
    <t xml:space="preserve">   dont tonnage issu de la CS</t>
  </si>
  <si>
    <t xml:space="preserve">   dont tonnage mâchefers, TMB et compost</t>
  </si>
  <si>
    <t xml:space="preserve">   dont tonnage issu de la collecte hors foyer</t>
  </si>
  <si>
    <t xml:space="preserve">   dont tonnage issu des RVM</t>
  </si>
  <si>
    <t xml:space="preserve">   dont tonnage en pourvoi</t>
  </si>
  <si>
    <t xml:space="preserve">  Acier total (hors collecte spécifique)</t>
  </si>
  <si>
    <t xml:space="preserve">  Aluminium total (hors collecte spécifique)</t>
  </si>
  <si>
    <t xml:space="preserve">  Papier/Carton total (hors collecte spécifique)</t>
  </si>
  <si>
    <t xml:space="preserve">  Plastique total (hors collecte spécifique)</t>
  </si>
  <si>
    <t xml:space="preserve">  Verre total (hors collecte spécifique)</t>
  </si>
  <si>
    <t>Taux de recyclage (y compris collecte spécifique)</t>
  </si>
  <si>
    <t>Eco-contribution (hors contribution unitaire à partir de 2017)</t>
  </si>
  <si>
    <t>Soutien au recyclage des métaux récupérés hors collecte sélective (Srm / Tum)</t>
  </si>
  <si>
    <t>Soutien à la CS et au tri (Tus yc Taa puis en 2018 Scs)</t>
  </si>
  <si>
    <t>Détail des soutiens directs aux CL au titre de l'année</t>
  </si>
  <si>
    <t>Coûts nets liées à la garantie de reprise par l’EO dans les DOM (PRDOM)</t>
  </si>
  <si>
    <t>Total des soutiens spécifiques DOM COM</t>
  </si>
  <si>
    <t>Accompagnement des clients et du dispositif de collecte et de tri</t>
  </si>
  <si>
    <t>Charges de structures (pilotage et gestion)</t>
  </si>
  <si>
    <t>Dépenses RetD et études (total y compris écoconception)</t>
  </si>
  <si>
    <t xml:space="preserve">Plan de relance recyclage </t>
  </si>
  <si>
    <t>Autres dépenses pour le tri et le recyclage</t>
  </si>
  <si>
    <t>Tonnage d'emballage verre correspondant à l'atteinte de l'objectif de 75% (Tverre)</t>
  </si>
  <si>
    <t>Tonnage d'emballage légers en CS correspondant à l'atteinte de l'objectif de 75% (Tlégers)</t>
  </si>
  <si>
    <t>Tonnage d'emballage métaux machefers correspondant à l'atteinte de l'objectif de 75% (Tmétaux-OMR)</t>
  </si>
  <si>
    <t>Coût complet d'un service de collecte et de tri optimisé (Ccomplet)</t>
  </si>
  <si>
    <t>Recettes industrielles liées au prix de reprise des emballages ménagers (Preprise)</t>
  </si>
  <si>
    <t xml:space="preserve">Coûts nets de référence d'un service de collecte et de tri optimisé (Créférence) </t>
  </si>
  <si>
    <t xml:space="preserve">Objectifs correspondant à l'atteinte de l'objectif de 75% </t>
  </si>
  <si>
    <t>papier carton non complexé</t>
  </si>
  <si>
    <t>papier carton complexé</t>
  </si>
  <si>
    <t>plastique bouteilles et flacons</t>
  </si>
  <si>
    <t>aluminium CS</t>
  </si>
  <si>
    <t>aluminium machefers</t>
  </si>
  <si>
    <t>acier CS</t>
  </si>
  <si>
    <t>acier machefers</t>
  </si>
  <si>
    <t xml:space="preserve">verre </t>
  </si>
  <si>
    <t>plastique pots, barquettes et films</t>
  </si>
  <si>
    <t>coût unitaire €/t</t>
  </si>
  <si>
    <t>Taux de prise en charge des coûts - calcul agrément 2018 - 2022</t>
  </si>
  <si>
    <t xml:space="preserve">Taux de prise en charge des coûts - calcul agrément 2018 - 2022 - paramètres du calcul </t>
  </si>
  <si>
    <t>prix de reprise €/t</t>
  </si>
  <si>
    <t xml:space="preserve">Soutiens directs aux collectivités hors communication et ADT (Scollectivité) </t>
  </si>
  <si>
    <t>Soutiens au transport (Stransport)</t>
  </si>
  <si>
    <t>Soutiens communication, ADT et actions génériques (Scoûts)</t>
  </si>
  <si>
    <t>Soutien au prix de reprise négatif (Sprix négatif)</t>
  </si>
  <si>
    <t>Total soutien</t>
  </si>
  <si>
    <t xml:space="preserve">Coût complet d'un service de collecte et de tri optimisé (yc métaux machefers et communication) </t>
  </si>
  <si>
    <t>Taux de prise en charge des coûts - calcul agrément précédent</t>
  </si>
  <si>
    <t>%Acier</t>
  </si>
  <si>
    <t>%Aluminium</t>
  </si>
  <si>
    <t>%Papier/Carton</t>
  </si>
  <si>
    <t>%Plastique</t>
  </si>
  <si>
    <t>%Verre</t>
  </si>
  <si>
    <t>%Autre</t>
  </si>
  <si>
    <t>%EC Autres (hors contribution unitaire)</t>
  </si>
  <si>
    <t>Avec d'autres acteurs</t>
  </si>
  <si>
    <t xml:space="preserve">    Bouteilles et flacons</t>
  </si>
  <si>
    <t xml:space="preserve">    Autres emballages plastiques</t>
  </si>
  <si>
    <t>1 TUS</t>
  </si>
  <si>
    <t>2 SPR</t>
  </si>
  <si>
    <t>3 SAS</t>
  </si>
  <si>
    <t>9 SVO/TORGA</t>
  </si>
  <si>
    <t>10 TUM</t>
  </si>
  <si>
    <t>11 SVErefus/TVRT</t>
  </si>
  <si>
    <t>12 TVOMR</t>
  </si>
  <si>
    <t>13 STRANS</t>
  </si>
  <si>
    <t>14 SCC</t>
  </si>
  <si>
    <t>15 SPNEG</t>
  </si>
  <si>
    <t>Contrôle/audits</t>
  </si>
  <si>
    <t xml:space="preserve">Frais de fonctionnement </t>
  </si>
  <si>
    <t xml:space="preserve">    dont dépenses pour l'écoconception</t>
  </si>
  <si>
    <t>Coût total nets de référence = Coût complet - Prix de reprise + Soutien aux coûts/80%</t>
  </si>
  <si>
    <t xml:space="preserve">    dont tonnage contribuant PCC</t>
  </si>
  <si>
    <t xml:space="preserve">    dont tonnage contribuant PCNC</t>
  </si>
  <si>
    <t xml:space="preserve">   dont tonnage CS</t>
  </si>
  <si>
    <t xml:space="preserve">   dont tonnage issus de la collecte hors foyer</t>
  </si>
  <si>
    <t xml:space="preserve">   dont tonnage TMB</t>
  </si>
  <si>
    <t xml:space="preserve">   Taux de recyclage bouteilles et flacons</t>
  </si>
  <si>
    <t xml:space="preserve">   Taux de recyclage autres plastiques</t>
  </si>
  <si>
    <t xml:space="preserve">   dont tonnage compost</t>
  </si>
  <si>
    <t xml:space="preserve">   dont tonnage de PCNC issu de la collecte hors foyer</t>
  </si>
  <si>
    <t xml:space="preserve">      dont tonnage de PCC</t>
  </si>
  <si>
    <t xml:space="preserve">      dont tonnage de PCNC (hors PCM)</t>
  </si>
  <si>
    <t xml:space="preserve">      dont tonnage PCM</t>
  </si>
  <si>
    <t>Bilan de la reprise (zone hors ECT à partir de 2019) - Bouteilles et flacons</t>
  </si>
  <si>
    <t>Bilan de la reprise (zone ECT) - Plastique</t>
  </si>
  <si>
    <t>% tonnage recyclé France</t>
  </si>
  <si>
    <t>Bilan de la reprise - PCM (trié et à trier)</t>
  </si>
  <si>
    <t>2018 à trier</t>
  </si>
  <si>
    <t>2019 à trier</t>
  </si>
  <si>
    <t>2018 triés</t>
  </si>
  <si>
    <t>2019 triés</t>
  </si>
  <si>
    <t>2018 total</t>
  </si>
  <si>
    <t>2019 total</t>
  </si>
  <si>
    <t>Année /  type de PCM</t>
  </si>
  <si>
    <t>Tonnage de PCM collecté (kt)</t>
  </si>
  <si>
    <t>Prix de reprise CS PCNC 5.02A</t>
  </si>
  <si>
    <t>Prix de reprise CS PCC</t>
  </si>
  <si>
    <t>Prix de reprise CS PCNC 1.05A</t>
  </si>
  <si>
    <t>Total du soutien par habitant</t>
  </si>
  <si>
    <t>Total soutien par habitant</t>
  </si>
  <si>
    <t>Total soutien collectivité par habitant</t>
  </si>
  <si>
    <t>Total soutien aux tonnes triées par habitant</t>
  </si>
  <si>
    <t>Total des recettes (CA = éco-contribution de l'année + régularisation années précédentes)</t>
  </si>
  <si>
    <t>Données fournies par les EO</t>
  </si>
  <si>
    <t xml:space="preserve">Données déclarées par les EO sur SYDEREP (SYstème DÉclaratif des filières REP : www.syderep.ademe.fr) </t>
  </si>
  <si>
    <t>Autres données fournies par les EO</t>
  </si>
  <si>
    <t>EO</t>
  </si>
  <si>
    <t xml:space="preserve">TABLEAU DE BORD DE LA FILIERE REP DES EMBALLAGES MENAGERS </t>
  </si>
  <si>
    <t xml:space="preserve">    dont grès, porcelaine, céramique</t>
  </si>
  <si>
    <t xml:space="preserve">    dont Papier/Carton Non Complexé avec décote</t>
  </si>
  <si>
    <t xml:space="preserve">        dont BF en PET opaque/PP/PE</t>
  </si>
  <si>
    <t xml:space="preserve">        dont BF en PET clair</t>
  </si>
  <si>
    <t xml:space="preserve">        dont emballage souple en PE</t>
  </si>
  <si>
    <t xml:space="preserve">        dont emballage rigide en PE/PP/PET</t>
  </si>
  <si>
    <t xml:space="preserve">        dont emballage rigide en PS</t>
  </si>
  <si>
    <t xml:space="preserve">        dont emballage complexe sans PVC</t>
  </si>
  <si>
    <t xml:space="preserve">        dont emballage avec du PVC</t>
  </si>
  <si>
    <t xml:space="preserve">      dont Papier/Carton PCC CS</t>
  </si>
  <si>
    <t xml:space="preserve">           dont Papier/Carton carton ondulé</t>
  </si>
  <si>
    <t xml:space="preserve">      dont Papier/Carton hors PCC</t>
  </si>
  <si>
    <t xml:space="preserve">           dont Papier/Carton en mélange</t>
  </si>
  <si>
    <t xml:space="preserve">           dont Papier/Carton PCNC</t>
  </si>
  <si>
    <t>Soutiens versés pour accompagnement (ECT et autres) (Saccomp)</t>
  </si>
  <si>
    <t>Régularisation CA des années précédentes</t>
  </si>
  <si>
    <t>Régularisation des années précédentes sur les soutiens versés aux CL</t>
  </si>
  <si>
    <t>Soutien au transport  (hors SAZE) - prestations filières</t>
  </si>
  <si>
    <t>Dépenses de R&amp;D et études sur la collecte, le tri et le recyclage</t>
  </si>
  <si>
    <t>Dépenses de R&amp;D et études liées à l'écoconception</t>
  </si>
  <si>
    <t>Dépenses d'accompagnement à l'écoconception</t>
  </si>
  <si>
    <t>Autres actions non inclues dans le Programme d'Action Territorialisé</t>
  </si>
  <si>
    <t>ND</t>
  </si>
  <si>
    <t>Autres produits (non opérationnels - vente d'actifs)</t>
  </si>
  <si>
    <t>Soutiens engagés pour accompagnement (Saccompagnement engagé)</t>
  </si>
  <si>
    <t>Sommes versés dans le cadre des standards expérimentaux</t>
  </si>
  <si>
    <t xml:space="preserve">Soutien au pourvoi et aux PAT (SDOMCOM) </t>
  </si>
  <si>
    <t>bouteilles et flacons et autres plastiques</t>
  </si>
  <si>
    <t>Moyenne 4 dernières années connues</t>
  </si>
  <si>
    <t xml:space="preserve">      dont autres emballages plastiques</t>
  </si>
  <si>
    <t xml:space="preserve">      dont films emballages ménagers</t>
  </si>
  <si>
    <t xml:space="preserve">      dont flux plastiques rigides à trier (hors extension)</t>
  </si>
  <si>
    <t xml:space="preserve">      dont bouteilles/Flacons PET clair (hors extension)</t>
  </si>
  <si>
    <t xml:space="preserve">      dont bouteilles/Flacons PET foncé (hors extension)</t>
  </si>
  <si>
    <t xml:space="preserve">      dont bouteilles/Flacons PE/PP (hors extension)</t>
  </si>
  <si>
    <t xml:space="preserve">      dont flux plastiques rigides à trier (en extension)</t>
  </si>
  <si>
    <t xml:space="preserve">      dont bouteilles/Flacons/Pots/Barquettes PET Clair (en extension)</t>
  </si>
  <si>
    <t xml:space="preserve">      dont bouteilles/Flacons/Pots/Barquettes PET foncé (en extension)</t>
  </si>
  <si>
    <t xml:space="preserve">      dont bouteilles/Flacons/Pots/Barquettes PE/PP (en extension)</t>
  </si>
  <si>
    <t xml:space="preserve">      dont bouteilles/Flacons/Pots/Barquettes PE/PP/PS (en extension)</t>
  </si>
  <si>
    <t xml:space="preserve">      dont bouteilles/Flacons/Pots/Barquettes PE (en extension)</t>
  </si>
  <si>
    <t xml:space="preserve">      dont bouteilles/Flacons/Pots/Barquettes PP (en extension)</t>
  </si>
  <si>
    <t xml:space="preserve">      dont pots/Barquettes PS (en extension)</t>
  </si>
  <si>
    <t xml:space="preserve">      dont bouteilles/Flacons PET clair (en extension)</t>
  </si>
  <si>
    <t xml:space="preserve">      dont flux développement (en extension) </t>
  </si>
  <si>
    <t xml:space="preserve">      dont pots/Barquettes PET clair (en extension)</t>
  </si>
  <si>
    <t xml:space="preserve">      dont bouteilles/Flacons/Pots/Barquettes PET opaque (en extension)</t>
  </si>
  <si>
    <t xml:space="preserve">      dont rigides multi-couches ou complexes (en extension)</t>
  </si>
  <si>
    <t>Nombre d'entreprises avec accompagnement à l'éco-conception en cumul depuis nouvel agrément</t>
  </si>
  <si>
    <t>Montant total de l'éco-contribution au titre de l'année</t>
  </si>
  <si>
    <t>Eco-Modulation - Citéo</t>
  </si>
  <si>
    <t>Eco-Modulation - Leko</t>
  </si>
  <si>
    <t>Eco-Conception - Citéo</t>
  </si>
  <si>
    <t>Eco-Conception - Leko</t>
  </si>
  <si>
    <t>Nombre de contrats - Citéo</t>
  </si>
  <si>
    <t>Nombre de contrats - Leko</t>
  </si>
  <si>
    <t>SCS</t>
  </si>
  <si>
    <t>Montant de l'éco-contribution - Citeo</t>
  </si>
  <si>
    <t>Montant de l'éco-contribution - Léko</t>
  </si>
  <si>
    <t>Tonnage contribuant - Citeo</t>
  </si>
  <si>
    <t>Tonnage contribuant - Léko</t>
  </si>
  <si>
    <t>SPDOM</t>
  </si>
  <si>
    <t>POURVOI</t>
  </si>
  <si>
    <t>SAZE</t>
  </si>
  <si>
    <t>Soutien en cas de prix de reprise négatif (Spneg) - tri simplifié impact CL</t>
  </si>
  <si>
    <t>Soutien en cas de prix de reprise négatif (Spneg) - coûts directs - tri simplifié impact AZE</t>
  </si>
  <si>
    <t>Les tonnes soutenues sont définies par calcul et ne sont pas basées sur les déclarations des CL.</t>
  </si>
  <si>
    <t>Le soutien sve refus est calculé comme cela : soutien = tonnes refus * TU du matériau * % de refus incinéré avec un PE &gt; 0.6.</t>
  </si>
  <si>
    <t>Autres acteurs de la filière</t>
  </si>
  <si>
    <t>Total des soutiens directs aux CL au titre de l'année</t>
  </si>
  <si>
    <t xml:space="preserve">  Papier/Carton CS</t>
  </si>
  <si>
    <t>Population INSEE de référence (y compris DROM-COM et Pourvoi)</t>
  </si>
  <si>
    <t>Population contractuelle totale (y compris DROM-COM et Pourvoi)</t>
  </si>
  <si>
    <t>Population INSEE de référence totale des DROM-COM (y compris Pourvoi)</t>
  </si>
  <si>
    <t>Population contractuelle totale dans les DROM-COM (y compris Pourvoi)</t>
  </si>
  <si>
    <t>dont population des DROM COM avec pourvoi</t>
  </si>
  <si>
    <t>% de la population contractuelle DROM COM / INSEE référence</t>
  </si>
  <si>
    <t xml:space="preserve">      dont flux plastiques rigides à trier (hors ECT)</t>
  </si>
  <si>
    <t xml:space="preserve">      dont bouteilles/Flacons PET clair (hors ECT</t>
  </si>
  <si>
    <t xml:space="preserve">      dont bouteilles/Flacons PET foncé (hors ECT)</t>
  </si>
  <si>
    <t xml:space="preserve">      dont bouteilles/Flacons PE/PP (hors ECT)</t>
  </si>
  <si>
    <t xml:space="preserve">      dont flux plastiques rigides à trier (en ECT)</t>
  </si>
  <si>
    <t xml:space="preserve">      dont bouteilles/Flacons/Pots/Barquettes PET Clair (en ECT)</t>
  </si>
  <si>
    <t xml:space="preserve">      dont bouteilles/Flacons/Pots/Barquettes PET foncé (en ECT)</t>
  </si>
  <si>
    <t xml:space="preserve">      dont bouteilles/Flacons/Pots/Barquettes PE/PP (en ECT)</t>
  </si>
  <si>
    <t xml:space="preserve">      dont bouteilles/Flacons/Pots/Barquettes PE/PP/PS (en ECT)</t>
  </si>
  <si>
    <t xml:space="preserve">      dont bouteilles/Flacons/Pots/Barquettes PE (en ECT)</t>
  </si>
  <si>
    <t xml:space="preserve">      dont bouteilles/Flacons/Pots/Barquettes PP (en ECT)</t>
  </si>
  <si>
    <t xml:space="preserve">      dont pots/Barquettes PS (en ECT)</t>
  </si>
  <si>
    <t xml:space="preserve">      dont bouteilles/Flacons PET clair (en ECT)</t>
  </si>
  <si>
    <t xml:space="preserve">      dont flux développement (en ECT) </t>
  </si>
  <si>
    <t xml:space="preserve">      dont pots/Barquettes PET clair (en ECT)</t>
  </si>
  <si>
    <t xml:space="preserve">      dont bouteilles/Flacons/Pots/Barquettes PET opaque (en ECT)</t>
  </si>
  <si>
    <t xml:space="preserve">      dont rigides multi-couches ou complexes (en ECT)</t>
  </si>
  <si>
    <t>SFILIERES</t>
  </si>
  <si>
    <t>SPNEGCL</t>
  </si>
  <si>
    <t>SPNEGAZE</t>
  </si>
  <si>
    <t>Edition 2022</t>
  </si>
  <si>
    <t>Données relatives aux déclarations 2010 - 2022, correspondant aux données de mise en marché et de traitement 2009-2021</t>
  </si>
  <si>
    <t xml:space="preserve">    dont textile</t>
  </si>
  <si>
    <t xml:space="preserve">    dont bois, liège</t>
  </si>
  <si>
    <t>Dispersion des soutiens par habitant (€/hab) selon la performance cumulée plastique et papier/carton (kg/hab) en 2021</t>
  </si>
  <si>
    <t>Acier - Citeo</t>
  </si>
  <si>
    <t>Aluminium - Citeo</t>
  </si>
  <si>
    <t>Papier/Carton - Citeo</t>
  </si>
  <si>
    <t>Plastique - Citeo</t>
  </si>
  <si>
    <t>Verre - Citeo</t>
  </si>
  <si>
    <t>Autres - Citeo</t>
  </si>
  <si>
    <t>Contribution unitaire - Citeo</t>
  </si>
  <si>
    <t xml:space="preserve">    dont Papier/Carton Complexé (PCC) - Citeo</t>
  </si>
  <si>
    <t xml:space="preserve">    dont Papier/Carton Non Complexé (PCNC) - Citeo</t>
  </si>
  <si>
    <t xml:space="preserve">    dont Papier/Carton Non Complexé avec décote - Citeo</t>
  </si>
  <si>
    <t xml:space="preserve">    dont Bouteilles et flacons - Citeo</t>
  </si>
  <si>
    <t xml:space="preserve">        dont BF en PET clair - Citeo</t>
  </si>
  <si>
    <t xml:space="preserve">        dont BF en PET opaque/PP/PE - Citeo</t>
  </si>
  <si>
    <t xml:space="preserve">    dont Autres emballages plastiques - Citeo</t>
  </si>
  <si>
    <t xml:space="preserve">        dont emballage rigide en PE/PP/PET - Citeo</t>
  </si>
  <si>
    <t xml:space="preserve">        dont emballage souple en PE - Citeo</t>
  </si>
  <si>
    <t xml:space="preserve">        dont emballage rigide en PS - Citeo</t>
  </si>
  <si>
    <t xml:space="preserve">        dont emballage complexe sans PVC - Citeo</t>
  </si>
  <si>
    <t xml:space="preserve">        dont emballage avec du PVC - Citeo</t>
  </si>
  <si>
    <t xml:space="preserve">    dont bois, liège - Citeo</t>
  </si>
  <si>
    <t xml:space="preserve">    dont textile - Citeo</t>
  </si>
  <si>
    <t xml:space="preserve">    dont grès, porcelaine, céramique - Citeo</t>
  </si>
  <si>
    <t>Acier - Léko</t>
  </si>
  <si>
    <t>Aluminium - Léko</t>
  </si>
  <si>
    <t>Papier/Carton - Léko</t>
  </si>
  <si>
    <t xml:space="preserve">    dont Papier/Carton Complexé (PCC) - Léko</t>
  </si>
  <si>
    <t xml:space="preserve">    dont Papier/Carton Non Complexé (PCNC) - Léko</t>
  </si>
  <si>
    <t xml:space="preserve">    dont Papier/Carton Non Complexé avec décote - Léko</t>
  </si>
  <si>
    <t>Plastique - Léko</t>
  </si>
  <si>
    <t xml:space="preserve">    dont Bouteilles et flacons - Léko</t>
  </si>
  <si>
    <t xml:space="preserve">        dont BF en PET clair - Léko</t>
  </si>
  <si>
    <t xml:space="preserve">        dont BF en PET opaque/PP/PE - Léko</t>
  </si>
  <si>
    <t xml:space="preserve">    dont Autres emballages plastiques - Léko</t>
  </si>
  <si>
    <t xml:space="preserve">        dont emballage rigide en PE/PP/PET - Léko</t>
  </si>
  <si>
    <t xml:space="preserve">        dont emballage souple en PE - Léko</t>
  </si>
  <si>
    <t xml:space="preserve">        dont emballage rigide en PS - Léko</t>
  </si>
  <si>
    <t xml:space="preserve">        dont emballage complexe sans PVC - Léko</t>
  </si>
  <si>
    <t xml:space="preserve">        dont emballage avec du PVC - Léko</t>
  </si>
  <si>
    <t>Verre - Léko</t>
  </si>
  <si>
    <t>Autres - Léko</t>
  </si>
  <si>
    <t xml:space="preserve">    dont bois, liège - Léko</t>
  </si>
  <si>
    <t xml:space="preserve">    dont textile - Léko</t>
  </si>
  <si>
    <t xml:space="preserve">    dont grès, porcelaine, céramique - Léko</t>
  </si>
  <si>
    <t>Contribution unitaire - Léko</t>
  </si>
  <si>
    <t>Montant total de l'éco-modulation : Bonus - Citeo</t>
  </si>
  <si>
    <t>Montant total de l'éco-modulation : Malus - Citeo</t>
  </si>
  <si>
    <t>Montant total de l'éco-modulation : Bonus - Léko</t>
  </si>
  <si>
    <t>Montant total de l'éco-modulation : Malus - Léko</t>
  </si>
  <si>
    <t>Soutiens spécifiques DOM (Programme d'Action Territorialisé) hors coûts de gestion (Spdom_hcdg)</t>
  </si>
  <si>
    <t>Soutiens spécifiques DOM (Programme d'Action Territorialisé) avec coûts de gestion (Spdom_acdg)</t>
  </si>
  <si>
    <t>Pourvoi (Coûts nets liées au pourvoi : Charges - Recettes) avec coûts de gestion</t>
  </si>
  <si>
    <t>Pourvoi (Coûts nets liées au pourvoi : Charges - Recettes) sans coûts de gestion</t>
  </si>
  <si>
    <t>% d'unités d'emballages avec malus perturbateur - Citeo</t>
  </si>
  <si>
    <t>% d'unités d'emballages avec autres malus - Citeo</t>
  </si>
  <si>
    <t>% d'unités d'emballages avec malus perturbateur - Léko</t>
  </si>
  <si>
    <t>% d'unités d'emballages avec autres malus - Léko</t>
  </si>
  <si>
    <t>% d'unités d'emballages avec bonus sensibilisation - Léko</t>
  </si>
  <si>
    <t>% d'unités d'emballages avec bonus réduction à la source - Citeo</t>
  </si>
  <si>
    <t>% d'unités d'emballages avec bonus sensibilisation - Citeo</t>
  </si>
  <si>
    <t>% d'unités d'emballages avec primes - Citeo</t>
  </si>
  <si>
    <t>Tonnage éco-modulé (bonus) - Citeo</t>
  </si>
  <si>
    <t>Tonnage éco-modulé (malus) - Citeo</t>
  </si>
  <si>
    <t>% d'unités d'emballages avec bonus réduction à la source - Léko</t>
  </si>
  <si>
    <t>Tonnage éco-modulé (bonus) - Léko</t>
  </si>
  <si>
    <t>Tonnage éco-modulé (malus) - Léko</t>
  </si>
  <si>
    <t>Acier de Collecte Sélective</t>
  </si>
  <si>
    <t>Aluminium de Collecte Sélective</t>
  </si>
  <si>
    <t>Papier Carton</t>
  </si>
  <si>
    <t>Brique</t>
  </si>
  <si>
    <t>Bouteilles et Flacons</t>
  </si>
  <si>
    <t>Autres Plastiques</t>
  </si>
  <si>
    <t>Acier extraits de mâchefers</t>
  </si>
  <si>
    <t>Aluminium extraits de mâchefers</t>
  </si>
  <si>
    <t>Total</t>
  </si>
  <si>
    <t>moy. 2014 à 2017</t>
  </si>
  <si>
    <t>moy. 2015 à 2018</t>
  </si>
  <si>
    <t>moy. 2016 à 2019</t>
  </si>
  <si>
    <t>moy. 2017 à 2020</t>
  </si>
  <si>
    <t>Coûts de gestion des Mesures d'Accompagnement</t>
  </si>
  <si>
    <t>Coûts environnés des Mesures d'Accompagnement</t>
  </si>
  <si>
    <t>Coûts de gestion des DOMCOM et Pourvoi</t>
  </si>
  <si>
    <t>Coûts environnés des DOMCOM &amp; Pourvoi</t>
  </si>
  <si>
    <t xml:space="preserve">Autres (hors contribution unitaire) </t>
  </si>
  <si>
    <t>€</t>
  </si>
  <si>
    <t>Recettes industrielles liées au prix de reprise</t>
  </si>
  <si>
    <t>Régularisation de contributions de l'année N sur l'année N+1</t>
  </si>
  <si>
    <t>Sous-total (montant de l'éco-contribution consolidé de l'année N)</t>
  </si>
  <si>
    <t>Nombre de contrats 31/12 - Citeo</t>
  </si>
  <si>
    <t>Nombre de contrats 31/12 - Léko</t>
  </si>
  <si>
    <t>% d'unités d'emballages avec primes - Léko</t>
  </si>
  <si>
    <t>SPDOM_HPAT</t>
  </si>
  <si>
    <t>Indicateurs économiques de Citeo/Adelphe</t>
  </si>
  <si>
    <t>Indicateurs économiques de Léko</t>
  </si>
  <si>
    <t>Données économiques de Citeo et Adelphe</t>
  </si>
  <si>
    <t>Données économiques de Léko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</si>
</sst>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#,##0.0"/>
    <numFmt numFmtId="167" formatCode="0.0"/>
    <numFmt numFmtId="168" formatCode="#,##0.000"/>
    <numFmt numFmtId="169" formatCode="_-* #,##0.00\ [$€-1]_-;\-* #,##0.00\ [$€-1]_-;_-* &quot;-&quot;??\ [$€-1]_-"/>
    <numFmt numFmtId="170" formatCode="[$-40C]mmm\-yy;@"/>
    <numFmt numFmtId="171" formatCode="mmmm\ d\,\ yyyy"/>
    <numFmt numFmtId="172" formatCode="_-* #,##0\ [$€-40C]_-;\-* #,##0\ [$€-40C]_-;_-* &quot;-&quot;??\ [$€-40C]_-;_-@_-"/>
    <numFmt numFmtId="173" formatCode="_-* #,##0.00,_€_-;\-* #,##0.00,_€_-;_-* \-??\ _€_-;_-@_-"/>
    <numFmt numFmtId="174" formatCode="#,##0\ &quot;F&quot;;\-#,##0\ &quot;F&quot;"/>
    <numFmt numFmtId="175" formatCode="#\ ##0"/>
    <numFmt numFmtId="176" formatCode="\(##\);\(##\)"/>
    <numFmt numFmtId="177" formatCode="_(* #,##0_);_(* \(#,##0\);_(* &quot;-&quot;_);@_)"/>
    <numFmt numFmtId="178" formatCode="0%_);\(0%\)"/>
    <numFmt numFmtId="179" formatCode="#,###,##0"/>
    <numFmt numFmtId="180" formatCode="_(&quot;$&quot;* #,##0.00_);_(&quot;$&quot;* \(#,##0.00\);_(&quot;$&quot;* &quot;-&quot;??_);_(@_)"/>
    <numFmt numFmtId="181" formatCode="0.000000"/>
    <numFmt numFmtId="182" formatCode="0.000"/>
    <numFmt numFmtId="183" formatCode="_-* #,##0\ _€_-;\-* #,##0\ _€_-;_-* &quot;-&quot;??\ _€_-;_-@_-"/>
    <numFmt numFmtId="184" formatCode="#,##0.0,"/>
    <numFmt numFmtId="185" formatCode="#,##0.0,,"/>
    <numFmt numFmtId="186" formatCode="_-* #,##0.0\ _€_-;\-* #,##0.0\ _€_-;_-* &quot;-&quot;?\ _€_-;_-@_-"/>
    <numFmt numFmtId="187" formatCode="#,##0.0000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i/>
      <sz val="11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4"/>
      <name val="Albertus (W1)"/>
      <family val="2"/>
    </font>
    <font>
      <b/>
      <sz val="10"/>
      <name val="Courier New"/>
      <family val="3"/>
    </font>
    <font>
      <sz val="8"/>
      <name val="Courier New"/>
      <family val="3"/>
    </font>
    <font>
      <sz val="10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i/>
      <sz val="8"/>
      <color indexed="21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b/>
      <sz val="18"/>
      <name val="Times New Roman"/>
      <family val="1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10"/>
      <name val="Tahoma"/>
      <family val="2"/>
    </font>
    <font>
      <sz val="11"/>
      <color theme="1"/>
      <name val="Calibri"/>
      <family val="2"/>
    </font>
    <font>
      <sz val="10"/>
      <color indexed="23"/>
      <name val="Arial"/>
      <family val="2"/>
    </font>
    <font>
      <b/>
      <sz val="12"/>
      <color indexed="23"/>
      <name val="Arial"/>
      <family val="2"/>
    </font>
    <font>
      <sz val="10"/>
      <color indexed="22"/>
      <name val="MS Sans Serif"/>
      <family val="2"/>
    </font>
    <font>
      <sz val="10"/>
      <color theme="1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6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name val="Century Gothic"/>
      <family val="2"/>
    </font>
    <font>
      <sz val="9"/>
      <name val="Verdana"/>
      <family val="2"/>
    </font>
    <font>
      <b/>
      <sz val="9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Marianne Light"/>
      <family val="3"/>
    </font>
    <font>
      <b/>
      <sz val="18"/>
      <color theme="1"/>
      <name val="Marianne Light"/>
      <family val="3"/>
    </font>
    <font>
      <b/>
      <sz val="14"/>
      <color theme="0"/>
      <name val="Marianne Light"/>
      <family val="3"/>
    </font>
    <font>
      <b/>
      <sz val="11"/>
      <name val="Marianne Light"/>
      <family val="3"/>
    </font>
    <font>
      <b/>
      <sz val="11"/>
      <color theme="1"/>
      <name val="Marianne Light"/>
      <family val="3"/>
    </font>
    <font>
      <b/>
      <sz val="11"/>
      <color theme="0"/>
      <name val="Marianne Light"/>
      <family val="3"/>
    </font>
    <font>
      <sz val="11"/>
      <name val="Marianne Light"/>
      <family val="3"/>
    </font>
    <font>
      <b/>
      <i/>
      <sz val="11"/>
      <color theme="0"/>
      <name val="Marianne Light"/>
      <family val="3"/>
    </font>
    <font>
      <strike/>
      <sz val="11"/>
      <color theme="1"/>
      <name val="Marianne Light"/>
      <family val="3"/>
    </font>
    <font>
      <sz val="11"/>
      <color rgb="FFFF0000"/>
      <name val="Marianne Light"/>
      <family val="3"/>
    </font>
    <font>
      <b/>
      <sz val="11"/>
      <color rgb="FFFF0000"/>
      <name val="Marianne Light"/>
      <family val="3"/>
    </font>
    <font>
      <sz val="11"/>
      <color theme="0" tint="-0.14999847407452621"/>
      <name val="Marianne Light"/>
      <family val="3"/>
    </font>
    <font>
      <sz val="8"/>
      <name val="Marianne Light"/>
      <family val="3"/>
    </font>
    <font>
      <sz val="11"/>
      <color theme="0" tint="-0.249977111117893"/>
      <name val="Marianne Light"/>
      <family val="3"/>
    </font>
    <font>
      <b/>
      <sz val="12"/>
      <color theme="0"/>
      <name val="Marianne Light"/>
      <family val="3"/>
    </font>
    <font>
      <b/>
      <sz val="10"/>
      <name val="Marianne Light"/>
      <family val="3"/>
    </font>
    <font>
      <b/>
      <i/>
      <sz val="11"/>
      <color theme="1"/>
      <name val="Marianne Light"/>
      <family val="3"/>
    </font>
    <font>
      <b/>
      <i/>
      <sz val="11"/>
      <name val="Marianne Light"/>
      <family val="3"/>
    </font>
    <font>
      <i/>
      <sz val="11"/>
      <name val="Marianne Light"/>
      <family val="3"/>
    </font>
    <font>
      <b/>
      <sz val="26"/>
      <color theme="8" tint="-0.249977111117893"/>
      <name val="Marianne Light"/>
      <family val="3"/>
    </font>
    <font>
      <b/>
      <sz val="22"/>
      <color theme="1"/>
      <name val="Marianne Light"/>
      <family val="3"/>
    </font>
    <font>
      <sz val="12"/>
      <color theme="1"/>
      <name val="Marianne Light"/>
      <family val="3"/>
    </font>
    <font>
      <b/>
      <u/>
      <sz val="11"/>
      <color theme="1"/>
      <name val="Marianne Light"/>
      <family val="3"/>
    </font>
    <font>
      <sz val="9"/>
      <color theme="1"/>
      <name val="Marianne Light"/>
      <family val="3"/>
    </font>
    <font>
      <i/>
      <sz val="11"/>
      <color theme="1"/>
      <name val="Marianne Light"/>
      <family val="3"/>
    </font>
    <font>
      <u/>
      <sz val="11"/>
      <color theme="10"/>
      <name val="Marianne Ligh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FFFF"/>
      <name val="Marianne Light"/>
      <family val="3"/>
    </font>
    <font>
      <sz val="11"/>
      <color theme="0"/>
      <name val="Marianne Light"/>
      <family val="3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15"/>
      </patternFill>
    </fill>
    <fill>
      <patternFill patternType="mediumGray">
        <fgColor indexed="9"/>
        <bgColor indexed="23"/>
      </patternFill>
    </fill>
    <fill>
      <patternFill patternType="mediumGray">
        <fgColor indexed="11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indexed="21"/>
        <bgColor indexed="9"/>
      </patternFill>
    </fill>
    <fill>
      <patternFill patternType="mediumGray">
        <fgColor indexed="22"/>
        <bgColor indexed="22"/>
      </patternFill>
    </fill>
    <fill>
      <patternFill patternType="solid">
        <fgColor indexed="19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0B4"/>
        <bgColor indexed="64"/>
      </patternFill>
    </fill>
  </fills>
  <borders count="1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009FDA"/>
      </left>
      <right style="thin">
        <color rgb="FF009FDA"/>
      </right>
      <top style="thin">
        <color rgb="FF009FDA"/>
      </top>
      <bottom style="thin">
        <color rgb="FF009FD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 diagonalDown="1"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 style="dashed">
        <color indexed="1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719">
    <xf numFmtId="0" fontId="0" fillId="0" borderId="0"/>
    <xf numFmtId="9" fontId="1" fillId="0" borderId="0" applyFont="0" applyFill="0" applyBorder="0" applyAlignment="0" applyProtection="0"/>
    <xf numFmtId="0" fontId="2" fillId="0" borderId="2">
      <alignment horizontal="left" vertical="center" wrapText="1"/>
    </xf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27" borderId="0" applyNumberFormat="0" applyBorder="0" applyAlignment="0" applyProtection="0"/>
    <xf numFmtId="0" fontId="14" fillId="34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15" applyNumberFormat="0" applyAlignment="0" applyProtection="0"/>
    <xf numFmtId="0" fontId="17" fillId="0" borderId="16" applyNumberFormat="0" applyFill="0" applyAlignment="0" applyProtection="0"/>
    <xf numFmtId="0" fontId="18" fillId="26" borderId="15" applyNumberFormat="0" applyAlignment="0" applyProtection="0"/>
    <xf numFmtId="169" fontId="9" fillId="0" borderId="0" applyFont="0" applyFill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1" fillId="36" borderId="0" applyNumberFormat="0" applyBorder="0" applyAlignment="0" applyProtection="0"/>
    <xf numFmtId="0" fontId="9" fillId="0" borderId="0"/>
    <xf numFmtId="0" fontId="22" fillId="37" borderId="0" applyNumberFormat="0" applyBorder="0" applyAlignment="0" applyProtection="0"/>
    <xf numFmtId="0" fontId="23" fillId="25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38" borderId="23" applyNumberFormat="0" applyAlignment="0" applyProtection="0"/>
    <xf numFmtId="164" fontId="1" fillId="0" borderId="0" applyFont="0" applyFill="0" applyBorder="0" applyAlignment="0" applyProtection="0"/>
    <xf numFmtId="169" fontId="35" fillId="40" borderId="24"/>
    <xf numFmtId="170" fontId="36" fillId="41" borderId="25">
      <alignment horizontal="center" vertical="center"/>
    </xf>
    <xf numFmtId="170" fontId="37" fillId="39" borderId="26">
      <alignment horizontal="left" vertical="top" wrapText="1"/>
    </xf>
    <xf numFmtId="49" fontId="38" fillId="42" borderId="27">
      <alignment vertical="center" wrapText="1"/>
    </xf>
    <xf numFmtId="49" fontId="39" fillId="43" borderId="28">
      <alignment vertical="center" wrapText="1"/>
    </xf>
    <xf numFmtId="170" fontId="40" fillId="41" borderId="29">
      <alignment horizontal="left" vertical="center" wrapText="1"/>
    </xf>
    <xf numFmtId="49" fontId="9" fillId="39" borderId="30">
      <alignment vertical="top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9" fillId="44" borderId="31" applyNumberFormat="0" applyFont="0" applyBorder="0" applyAlignment="0" applyProtection="0"/>
    <xf numFmtId="49" fontId="9" fillId="0" borderId="0">
      <alignment vertical="top" wrapText="1"/>
    </xf>
    <xf numFmtId="171" fontId="9" fillId="0" borderId="0" applyFill="0" applyBorder="0" applyAlignment="0" applyProtection="0"/>
    <xf numFmtId="49" fontId="41" fillId="0" borderId="30">
      <alignment horizontal="right" vertical="top"/>
    </xf>
    <xf numFmtId="170" fontId="42" fillId="45" borderId="3">
      <alignment horizontal="centerContinuous" vertical="top" wrapText="1"/>
    </xf>
    <xf numFmtId="170" fontId="43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44" fillId="0" borderId="0">
      <alignment vertical="top" wrapText="1"/>
    </xf>
    <xf numFmtId="44" fontId="9" fillId="0" borderId="0" applyFont="0" applyFill="0" applyBorder="0" applyAlignment="0" applyProtection="0"/>
    <xf numFmtId="166" fontId="9" fillId="0" borderId="0" applyFill="0" applyBorder="0" applyAlignment="0" applyProtection="0"/>
    <xf numFmtId="3" fontId="9" fillId="0" borderId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72" fontId="12" fillId="23" borderId="0" applyNumberFormat="0" applyBorder="0" applyAlignment="0" applyProtection="0"/>
    <xf numFmtId="170" fontId="47" fillId="0" borderId="0"/>
    <xf numFmtId="164" fontId="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49" fillId="0" borderId="0"/>
    <xf numFmtId="44" fontId="3" fillId="0" borderId="0" applyFont="0" applyFill="0" applyBorder="0" applyAlignment="0" applyProtection="0"/>
    <xf numFmtId="174" fontId="9" fillId="0" borderId="0" applyFill="0" applyBorder="0" applyAlignment="0" applyProtection="0"/>
    <xf numFmtId="0" fontId="9" fillId="0" borderId="0"/>
    <xf numFmtId="169" fontId="1" fillId="0" borderId="0"/>
    <xf numFmtId="0" fontId="48" fillId="0" borderId="0"/>
    <xf numFmtId="170" fontId="1" fillId="0" borderId="0"/>
    <xf numFmtId="0" fontId="48" fillId="0" borderId="0"/>
    <xf numFmtId="0" fontId="9" fillId="0" borderId="0"/>
    <xf numFmtId="0" fontId="1" fillId="0" borderId="0"/>
    <xf numFmtId="0" fontId="3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5" fontId="9" fillId="0" borderId="0"/>
    <xf numFmtId="170" fontId="9" fillId="0" borderId="0"/>
    <xf numFmtId="169" fontId="9" fillId="0" borderId="0"/>
    <xf numFmtId="0" fontId="9" fillId="0" borderId="0"/>
    <xf numFmtId="175" fontId="9" fillId="0" borderId="0"/>
    <xf numFmtId="175" fontId="9" fillId="0" borderId="0"/>
    <xf numFmtId="169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4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 applyNumberFormat="0" applyProtection="0">
      <alignment wrapText="1"/>
    </xf>
    <xf numFmtId="169" fontId="1" fillId="0" borderId="0" applyNumberFormat="0" applyProtection="0">
      <alignment wrapText="1"/>
    </xf>
    <xf numFmtId="0" fontId="48" fillId="0" borderId="0"/>
    <xf numFmtId="0" fontId="9" fillId="0" borderId="0"/>
    <xf numFmtId="170" fontId="1" fillId="0" borderId="0"/>
    <xf numFmtId="170" fontId="1" fillId="0" borderId="0"/>
    <xf numFmtId="170" fontId="1" fillId="0" borderId="0"/>
    <xf numFmtId="0" fontId="50" fillId="0" borderId="0"/>
    <xf numFmtId="170" fontId="1" fillId="0" borderId="0"/>
    <xf numFmtId="170" fontId="1" fillId="0" borderId="0"/>
    <xf numFmtId="0" fontId="48" fillId="0" borderId="0"/>
    <xf numFmtId="169" fontId="1" fillId="0" borderId="0"/>
    <xf numFmtId="0" fontId="48" fillId="0" borderId="0"/>
    <xf numFmtId="0" fontId="48" fillId="0" borderId="0"/>
    <xf numFmtId="169" fontId="51" fillId="0" borderId="0"/>
    <xf numFmtId="170" fontId="1" fillId="0" borderId="0"/>
    <xf numFmtId="170" fontId="1" fillId="0" borderId="0"/>
    <xf numFmtId="0" fontId="3" fillId="0" borderId="0"/>
    <xf numFmtId="169" fontId="1" fillId="0" borderId="0"/>
    <xf numFmtId="169" fontId="1" fillId="0" borderId="0"/>
    <xf numFmtId="172" fontId="1" fillId="0" borderId="0"/>
    <xf numFmtId="0" fontId="50" fillId="0" borderId="0"/>
    <xf numFmtId="169" fontId="1" fillId="0" borderId="0"/>
    <xf numFmtId="172" fontId="1" fillId="0" borderId="0"/>
    <xf numFmtId="169" fontId="1" fillId="0" borderId="0"/>
    <xf numFmtId="172" fontId="1" fillId="0" borderId="0"/>
    <xf numFmtId="170" fontId="1" fillId="0" borderId="0"/>
    <xf numFmtId="169" fontId="1" fillId="0" borderId="0"/>
    <xf numFmtId="172" fontId="1" fillId="0" borderId="0"/>
    <xf numFmtId="169" fontId="9" fillId="0" borderId="0"/>
    <xf numFmtId="172" fontId="1" fillId="0" borderId="0"/>
    <xf numFmtId="170" fontId="52" fillId="0" borderId="0">
      <alignment vertical="top"/>
    </xf>
    <xf numFmtId="170" fontId="42" fillId="0" borderId="0"/>
    <xf numFmtId="176" fontId="53" fillId="0" borderId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32" fillId="46" borderId="18" applyNumberFormat="0" applyProtection="0">
      <alignment vertical="center"/>
    </xf>
    <xf numFmtId="4" fontId="56" fillId="46" borderId="18" applyNumberFormat="0" applyProtection="0">
      <alignment vertical="center"/>
    </xf>
    <xf numFmtId="4" fontId="32" fillId="46" borderId="18" applyNumberFormat="0" applyProtection="0">
      <alignment horizontal="left" vertical="center" indent="1"/>
    </xf>
    <xf numFmtId="4" fontId="32" fillId="46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 shrinkToFit="1"/>
    </xf>
    <xf numFmtId="169" fontId="9" fillId="47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4" fontId="32" fillId="48" borderId="18" applyNumberFormat="0" applyProtection="0">
      <alignment horizontal="right" vertical="center"/>
    </xf>
    <xf numFmtId="4" fontId="32" fillId="40" borderId="18" applyNumberFormat="0" applyProtection="0">
      <alignment horizontal="right" vertical="center"/>
    </xf>
    <xf numFmtId="4" fontId="32" fillId="49" borderId="18" applyNumberFormat="0" applyProtection="0">
      <alignment horizontal="right" vertical="center"/>
    </xf>
    <xf numFmtId="4" fontId="32" fillId="50" borderId="18" applyNumberFormat="0" applyProtection="0">
      <alignment horizontal="right" vertical="center"/>
    </xf>
    <xf numFmtId="4" fontId="32" fillId="51" borderId="18" applyNumberFormat="0" applyProtection="0">
      <alignment horizontal="right" vertical="center"/>
    </xf>
    <xf numFmtId="4" fontId="32" fillId="52" borderId="18" applyNumberFormat="0" applyProtection="0">
      <alignment horizontal="right" vertical="center"/>
    </xf>
    <xf numFmtId="4" fontId="32" fillId="53" borderId="18" applyNumberFormat="0" applyProtection="0">
      <alignment horizontal="right" vertical="center"/>
    </xf>
    <xf numFmtId="4" fontId="32" fillId="54" borderId="18" applyNumberFormat="0" applyProtection="0">
      <alignment horizontal="right" vertical="center"/>
    </xf>
    <xf numFmtId="4" fontId="32" fillId="55" borderId="18" applyNumberFormat="0" applyProtection="0">
      <alignment horizontal="right" vertical="center"/>
    </xf>
    <xf numFmtId="4" fontId="57" fillId="56" borderId="18" applyNumberFormat="0" applyProtection="0">
      <alignment horizontal="left" vertical="center" indent="1"/>
    </xf>
    <xf numFmtId="4" fontId="57" fillId="57" borderId="18" applyNumberFormat="0" applyProtection="0">
      <alignment horizontal="left" vertical="center" indent="1"/>
    </xf>
    <xf numFmtId="4" fontId="57" fillId="57" borderId="18" applyNumberFormat="0" applyProtection="0">
      <alignment horizontal="left" vertical="center" indent="1"/>
    </xf>
    <xf numFmtId="4" fontId="57" fillId="57" borderId="18" applyNumberFormat="0" applyProtection="0">
      <alignment horizontal="left" vertical="center" indent="1"/>
    </xf>
    <xf numFmtId="4" fontId="32" fillId="58" borderId="32" applyNumberFormat="0" applyProtection="0">
      <alignment horizontal="left" vertical="center" indent="1"/>
    </xf>
    <xf numFmtId="4" fontId="32" fillId="58" borderId="32" applyNumberFormat="0" applyProtection="0">
      <alignment horizontal="left" vertical="center" indent="1"/>
    </xf>
    <xf numFmtId="4" fontId="32" fillId="58" borderId="32" applyNumberFormat="0" applyProtection="0">
      <alignment horizontal="left" vertical="center" indent="1"/>
    </xf>
    <xf numFmtId="4" fontId="32" fillId="58" borderId="32" applyNumberFormat="0" applyProtection="0">
      <alignment horizontal="left" vertical="center" indent="1"/>
    </xf>
    <xf numFmtId="4" fontId="58" fillId="59" borderId="0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169" fontId="9" fillId="60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4" fontId="32" fillId="58" borderId="18" applyNumberFormat="0" applyProtection="0">
      <alignment horizontal="left" vertical="center" indent="1"/>
    </xf>
    <xf numFmtId="4" fontId="32" fillId="61" borderId="18" applyNumberFormat="0" applyProtection="0">
      <alignment horizontal="left" vertical="center" indent="1"/>
    </xf>
    <xf numFmtId="169" fontId="59" fillId="62" borderId="18" applyNumberFormat="0" applyProtection="0">
      <alignment horizontal="left" vertical="center" wrapText="1" indent="2"/>
    </xf>
    <xf numFmtId="169" fontId="9" fillId="61" borderId="18" applyNumberFormat="0" applyProtection="0">
      <alignment horizontal="left" vertical="center" indent="1"/>
    </xf>
    <xf numFmtId="169" fontId="9" fillId="61" borderId="18" applyNumberFormat="0" applyProtection="0">
      <alignment horizontal="left" vertical="center" indent="1"/>
    </xf>
    <xf numFmtId="169" fontId="9" fillId="61" borderId="18" applyNumberFormat="0" applyProtection="0">
      <alignment horizontal="left" vertical="center" indent="1"/>
    </xf>
    <xf numFmtId="169" fontId="9" fillId="61" borderId="18" applyNumberFormat="0" applyProtection="0">
      <alignment horizontal="left" vertical="center" indent="1"/>
    </xf>
    <xf numFmtId="169" fontId="9" fillId="61" borderId="18" applyNumberFormat="0" applyProtection="0">
      <alignment horizontal="left" vertical="center" indent="1"/>
    </xf>
    <xf numFmtId="169" fontId="9" fillId="61" borderId="18" applyNumberFormat="0" applyProtection="0">
      <alignment horizontal="left" vertical="center" indent="1"/>
    </xf>
    <xf numFmtId="169" fontId="9" fillId="61" borderId="18" applyNumberFormat="0" applyProtection="0">
      <alignment horizontal="left" vertical="center" indent="1"/>
    </xf>
    <xf numFmtId="169" fontId="9" fillId="61" borderId="18" applyNumberFormat="0" applyProtection="0">
      <alignment horizontal="left" vertical="center" indent="1"/>
    </xf>
    <xf numFmtId="169" fontId="9" fillId="63" borderId="18" applyNumberFormat="0" applyProtection="0">
      <alignment horizontal="left" vertical="center" wrapText="1" indent="2"/>
    </xf>
    <xf numFmtId="169" fontId="9" fillId="64" borderId="18" applyNumberFormat="0" applyProtection="0">
      <alignment horizontal="left" vertical="center" indent="1"/>
    </xf>
    <xf numFmtId="169" fontId="9" fillId="64" borderId="18" applyNumberFormat="0" applyProtection="0">
      <alignment horizontal="left" vertical="center" indent="1"/>
    </xf>
    <xf numFmtId="169" fontId="9" fillId="64" borderId="18" applyNumberFormat="0" applyProtection="0">
      <alignment horizontal="left" vertical="center" indent="1"/>
    </xf>
    <xf numFmtId="169" fontId="9" fillId="64" borderId="18" applyNumberFormat="0" applyProtection="0">
      <alignment horizontal="left" vertical="center" indent="1"/>
    </xf>
    <xf numFmtId="169" fontId="9" fillId="39" borderId="18" applyNumberFormat="0" applyProtection="0">
      <alignment horizontal="left" vertical="center" indent="1"/>
    </xf>
    <xf numFmtId="169" fontId="9" fillId="39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4" fontId="32" fillId="65" borderId="18" applyNumberFormat="0" applyProtection="0">
      <alignment vertical="center"/>
    </xf>
    <xf numFmtId="4" fontId="56" fillId="65" borderId="18" applyNumberFormat="0" applyProtection="0">
      <alignment vertical="center"/>
    </xf>
    <xf numFmtId="4" fontId="32" fillId="65" borderId="18" applyNumberFormat="0" applyProtection="0">
      <alignment horizontal="left" vertical="center" indent="1"/>
    </xf>
    <xf numFmtId="4" fontId="32" fillId="65" borderId="18" applyNumberFormat="0" applyProtection="0">
      <alignment horizontal="left" vertical="center" indent="1"/>
    </xf>
    <xf numFmtId="4" fontId="32" fillId="58" borderId="18" applyNumberFormat="0" applyProtection="0">
      <alignment horizontal="right" vertical="center"/>
    </xf>
    <xf numFmtId="4" fontId="56" fillId="58" borderId="18" applyNumberFormat="0" applyProtection="0">
      <alignment horizontal="right" vertical="center"/>
    </xf>
    <xf numFmtId="169" fontId="9" fillId="47" borderId="18" applyNumberFormat="0" applyProtection="0">
      <alignment horizontal="left" vertical="center" indent="1"/>
    </xf>
    <xf numFmtId="169" fontId="9" fillId="0" borderId="18" applyNumberFormat="0" applyProtection="0">
      <alignment horizontal="left" vertical="center" indent="1"/>
    </xf>
    <xf numFmtId="169" fontId="9" fillId="47" borderId="18" applyNumberFormat="0" applyProtection="0">
      <alignment horizontal="left" vertical="center" indent="1"/>
    </xf>
    <xf numFmtId="169" fontId="9" fillId="47" borderId="18" applyNumberFormat="0" applyProtection="0">
      <alignment horizontal="center" vertical="center" wrapText="1"/>
    </xf>
    <xf numFmtId="169" fontId="9" fillId="47" borderId="18" applyNumberFormat="0" applyProtection="0">
      <alignment horizontal="left" vertical="center" indent="1"/>
    </xf>
    <xf numFmtId="169" fontId="60" fillId="0" borderId="0" applyNumberFormat="0" applyProtection="0"/>
    <xf numFmtId="169" fontId="61" fillId="0" borderId="0"/>
    <xf numFmtId="169" fontId="61" fillId="0" borderId="0"/>
    <xf numFmtId="169" fontId="61" fillId="0" borderId="0"/>
    <xf numFmtId="169" fontId="61" fillId="0" borderId="0"/>
    <xf numFmtId="4" fontId="62" fillId="58" borderId="18" applyNumberFormat="0" applyProtection="0">
      <alignment horizontal="right" vertical="center"/>
    </xf>
    <xf numFmtId="177" fontId="63" fillId="0" borderId="0" applyNumberFormat="0" applyFill="0" applyBorder="0" applyAlignment="0" applyProtection="0"/>
    <xf numFmtId="177" fontId="64" fillId="66" borderId="0" applyNumberFormat="0" applyFont="0" applyBorder="0" applyAlignment="0" applyProtection="0"/>
    <xf numFmtId="0" fontId="64" fillId="0" borderId="0" applyFill="0" applyBorder="0" applyProtection="0"/>
    <xf numFmtId="177" fontId="64" fillId="8" borderId="0" applyNumberFormat="0" applyFont="0" applyBorder="0" applyAlignment="0" applyProtection="0"/>
    <xf numFmtId="178" fontId="64" fillId="0" borderId="0" applyFill="0" applyBorder="0" applyAlignment="0" applyProtection="0"/>
    <xf numFmtId="0" fontId="65" fillId="0" borderId="0" applyNumberFormat="0" applyAlignment="0" applyProtection="0"/>
    <xf numFmtId="0" fontId="63" fillId="0" borderId="33" applyFill="0" applyProtection="0">
      <alignment horizontal="right" wrapText="1"/>
    </xf>
    <xf numFmtId="0" fontId="63" fillId="0" borderId="0" applyFill="0" applyProtection="0">
      <alignment wrapText="1"/>
    </xf>
    <xf numFmtId="177" fontId="66" fillId="0" borderId="34" applyNumberFormat="0" applyFill="0" applyAlignment="0" applyProtection="0"/>
    <xf numFmtId="0" fontId="11" fillId="0" borderId="0" applyAlignment="0" applyProtection="0"/>
    <xf numFmtId="0" fontId="66" fillId="0" borderId="35" applyNumberFormat="0" applyFill="0" applyAlignment="0" applyProtection="0"/>
    <xf numFmtId="170" fontId="44" fillId="0" borderId="0">
      <alignment vertical="top" wrapText="1"/>
    </xf>
    <xf numFmtId="175" fontId="67" fillId="0" borderId="36">
      <alignment textRotation="50"/>
    </xf>
    <xf numFmtId="3" fontId="68" fillId="41" borderId="17">
      <alignment vertical="center"/>
    </xf>
    <xf numFmtId="3" fontId="69" fillId="41" borderId="17">
      <alignment vertical="center"/>
    </xf>
    <xf numFmtId="170" fontId="9" fillId="67" borderId="14" applyBorder="0">
      <alignment horizontal="left" vertical="center"/>
    </xf>
    <xf numFmtId="170" fontId="9" fillId="45" borderId="3">
      <alignment horizontal="left" vertical="center" wrapText="1"/>
    </xf>
    <xf numFmtId="170" fontId="9" fillId="68" borderId="3">
      <alignment horizontal="left" vertical="center" wrapText="1"/>
    </xf>
    <xf numFmtId="170" fontId="42" fillId="68" borderId="3">
      <alignment horizontal="left" vertical="center" wrapText="1"/>
    </xf>
    <xf numFmtId="170" fontId="9" fillId="69" borderId="3">
      <alignment horizontal="left" vertical="center" wrapText="1"/>
    </xf>
    <xf numFmtId="170" fontId="33" fillId="68" borderId="37">
      <alignment horizontal="left" vertical="center" wrapText="1"/>
    </xf>
    <xf numFmtId="170" fontId="33" fillId="39" borderId="37">
      <alignment horizontal="left" vertical="center" wrapText="1"/>
    </xf>
    <xf numFmtId="0" fontId="49" fillId="0" borderId="0"/>
    <xf numFmtId="179" fontId="58" fillId="70" borderId="0" applyNumberFormat="0" applyBorder="0">
      <alignment horizontal="center"/>
      <protection locked="0"/>
    </xf>
    <xf numFmtId="2" fontId="9" fillId="0" borderId="0" applyFill="0" applyBorder="0" applyAlignment="0" applyProtection="0"/>
    <xf numFmtId="180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6" fillId="25" borderId="67" applyNumberFormat="0" applyAlignment="0" applyProtection="0"/>
    <xf numFmtId="0" fontId="18" fillId="26" borderId="67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25" borderId="69" applyNumberFormat="0" applyAlignment="0" applyProtection="0"/>
    <xf numFmtId="0" fontId="29" fillId="0" borderId="70" applyNumberFormat="0" applyFill="0" applyAlignment="0" applyProtection="0"/>
    <xf numFmtId="164" fontId="1" fillId="0" borderId="0" applyFont="0" applyFill="0" applyBorder="0" applyAlignment="0" applyProtection="0"/>
    <xf numFmtId="170" fontId="37" fillId="39" borderId="71">
      <alignment horizontal="left" vertical="top" wrapText="1"/>
    </xf>
    <xf numFmtId="49" fontId="9" fillId="39" borderId="72">
      <alignment vertical="top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32" fillId="46" borderId="69" applyNumberFormat="0" applyProtection="0">
      <alignment vertical="center"/>
    </xf>
    <xf numFmtId="4" fontId="56" fillId="46" borderId="69" applyNumberFormat="0" applyProtection="0">
      <alignment vertical="center"/>
    </xf>
    <xf numFmtId="4" fontId="32" fillId="46" borderId="69" applyNumberFormat="0" applyProtection="0">
      <alignment horizontal="left" vertical="center" indent="1"/>
    </xf>
    <xf numFmtId="4" fontId="32" fillId="46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 shrinkToFit="1"/>
    </xf>
    <xf numFmtId="169" fontId="9" fillId="47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4" fontId="32" fillId="48" borderId="69" applyNumberFormat="0" applyProtection="0">
      <alignment horizontal="right" vertical="center"/>
    </xf>
    <xf numFmtId="4" fontId="32" fillId="40" borderId="69" applyNumberFormat="0" applyProtection="0">
      <alignment horizontal="right" vertical="center"/>
    </xf>
    <xf numFmtId="4" fontId="32" fillId="49" borderId="69" applyNumberFormat="0" applyProtection="0">
      <alignment horizontal="right" vertical="center"/>
    </xf>
    <xf numFmtId="4" fontId="32" fillId="50" borderId="69" applyNumberFormat="0" applyProtection="0">
      <alignment horizontal="right" vertical="center"/>
    </xf>
    <xf numFmtId="4" fontId="32" fillId="51" borderId="69" applyNumberFormat="0" applyProtection="0">
      <alignment horizontal="right" vertical="center"/>
    </xf>
    <xf numFmtId="4" fontId="32" fillId="52" borderId="69" applyNumberFormat="0" applyProtection="0">
      <alignment horizontal="right" vertical="center"/>
    </xf>
    <xf numFmtId="4" fontId="32" fillId="53" borderId="69" applyNumberFormat="0" applyProtection="0">
      <alignment horizontal="right" vertical="center"/>
    </xf>
    <xf numFmtId="4" fontId="32" fillId="54" borderId="69" applyNumberFormat="0" applyProtection="0">
      <alignment horizontal="right" vertical="center"/>
    </xf>
    <xf numFmtId="4" fontId="32" fillId="55" borderId="69" applyNumberFormat="0" applyProtection="0">
      <alignment horizontal="right" vertical="center"/>
    </xf>
    <xf numFmtId="4" fontId="57" fillId="56" borderId="69" applyNumberFormat="0" applyProtection="0">
      <alignment horizontal="left" vertical="center" indent="1"/>
    </xf>
    <xf numFmtId="4" fontId="57" fillId="57" borderId="69" applyNumberFormat="0" applyProtection="0">
      <alignment horizontal="left" vertical="center" indent="1"/>
    </xf>
    <xf numFmtId="4" fontId="57" fillId="57" borderId="69" applyNumberFormat="0" applyProtection="0">
      <alignment horizontal="left" vertical="center" indent="1"/>
    </xf>
    <xf numFmtId="4" fontId="57" fillId="57" borderId="69" applyNumberFormat="0" applyProtection="0">
      <alignment horizontal="left" vertical="center" indent="1"/>
    </xf>
    <xf numFmtId="4" fontId="32" fillId="58" borderId="73" applyNumberFormat="0" applyProtection="0">
      <alignment horizontal="left" vertical="center" indent="1"/>
    </xf>
    <xf numFmtId="4" fontId="32" fillId="58" borderId="73" applyNumberFormat="0" applyProtection="0">
      <alignment horizontal="left" vertical="center" indent="1"/>
    </xf>
    <xf numFmtId="4" fontId="32" fillId="58" borderId="73" applyNumberFormat="0" applyProtection="0">
      <alignment horizontal="left" vertical="center" indent="1"/>
    </xf>
    <xf numFmtId="4" fontId="32" fillId="58" borderId="73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169" fontId="9" fillId="60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4" fontId="32" fillId="58" borderId="69" applyNumberFormat="0" applyProtection="0">
      <alignment horizontal="left" vertical="center" indent="1"/>
    </xf>
    <xf numFmtId="4" fontId="32" fillId="61" borderId="69" applyNumberFormat="0" applyProtection="0">
      <alignment horizontal="left" vertical="center" indent="1"/>
    </xf>
    <xf numFmtId="169" fontId="59" fillId="62" borderId="69" applyNumberFormat="0" applyProtection="0">
      <alignment horizontal="left" vertical="center" wrapText="1" indent="2"/>
    </xf>
    <xf numFmtId="169" fontId="9" fillId="61" borderId="69" applyNumberFormat="0" applyProtection="0">
      <alignment horizontal="left" vertical="center" indent="1"/>
    </xf>
    <xf numFmtId="169" fontId="9" fillId="61" borderId="69" applyNumberFormat="0" applyProtection="0">
      <alignment horizontal="left" vertical="center" indent="1"/>
    </xf>
    <xf numFmtId="169" fontId="9" fillId="61" borderId="69" applyNumberFormat="0" applyProtection="0">
      <alignment horizontal="left" vertical="center" indent="1"/>
    </xf>
    <xf numFmtId="169" fontId="9" fillId="61" borderId="69" applyNumberFormat="0" applyProtection="0">
      <alignment horizontal="left" vertical="center" indent="1"/>
    </xf>
    <xf numFmtId="169" fontId="9" fillId="61" borderId="69" applyNumberFormat="0" applyProtection="0">
      <alignment horizontal="left" vertical="center" indent="1"/>
    </xf>
    <xf numFmtId="169" fontId="9" fillId="61" borderId="69" applyNumberFormat="0" applyProtection="0">
      <alignment horizontal="left" vertical="center" indent="1"/>
    </xf>
    <xf numFmtId="169" fontId="9" fillId="61" borderId="69" applyNumberFormat="0" applyProtection="0">
      <alignment horizontal="left" vertical="center" indent="1"/>
    </xf>
    <xf numFmtId="169" fontId="9" fillId="61" borderId="69" applyNumberFormat="0" applyProtection="0">
      <alignment horizontal="left" vertical="center" indent="1"/>
    </xf>
    <xf numFmtId="169" fontId="9" fillId="63" borderId="69" applyNumberFormat="0" applyProtection="0">
      <alignment horizontal="left" vertical="center" wrapText="1" indent="2"/>
    </xf>
    <xf numFmtId="169" fontId="9" fillId="64" borderId="69" applyNumberFormat="0" applyProtection="0">
      <alignment horizontal="left" vertical="center" indent="1"/>
    </xf>
    <xf numFmtId="169" fontId="9" fillId="64" borderId="69" applyNumberFormat="0" applyProtection="0">
      <alignment horizontal="left" vertical="center" indent="1"/>
    </xf>
    <xf numFmtId="169" fontId="9" fillId="64" borderId="69" applyNumberFormat="0" applyProtection="0">
      <alignment horizontal="left" vertical="center" indent="1"/>
    </xf>
    <xf numFmtId="169" fontId="9" fillId="64" borderId="69" applyNumberFormat="0" applyProtection="0">
      <alignment horizontal="left" vertical="center" indent="1"/>
    </xf>
    <xf numFmtId="169" fontId="9" fillId="39" borderId="69" applyNumberFormat="0" applyProtection="0">
      <alignment horizontal="left" vertical="center" indent="1"/>
    </xf>
    <xf numFmtId="169" fontId="9" fillId="39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4" fontId="32" fillId="65" borderId="69" applyNumberFormat="0" applyProtection="0">
      <alignment vertical="center"/>
    </xf>
    <xf numFmtId="4" fontId="56" fillId="65" borderId="69" applyNumberFormat="0" applyProtection="0">
      <alignment vertical="center"/>
    </xf>
    <xf numFmtId="4" fontId="32" fillId="65" borderId="69" applyNumberFormat="0" applyProtection="0">
      <alignment horizontal="left" vertical="center" indent="1"/>
    </xf>
    <xf numFmtId="4" fontId="32" fillId="65" borderId="69" applyNumberFormat="0" applyProtection="0">
      <alignment horizontal="left" vertical="center" indent="1"/>
    </xf>
    <xf numFmtId="4" fontId="32" fillId="58" borderId="69" applyNumberFormat="0" applyProtection="0">
      <alignment horizontal="right" vertical="center"/>
    </xf>
    <xf numFmtId="4" fontId="56" fillId="58" borderId="69" applyNumberFormat="0" applyProtection="0">
      <alignment horizontal="right" vertical="center"/>
    </xf>
    <xf numFmtId="169" fontId="9" fillId="47" borderId="69" applyNumberFormat="0" applyProtection="0">
      <alignment horizontal="left" vertical="center" indent="1"/>
    </xf>
    <xf numFmtId="169" fontId="9" fillId="0" borderId="69" applyNumberFormat="0" applyProtection="0">
      <alignment horizontal="left" vertical="center" indent="1"/>
    </xf>
    <xf numFmtId="169" fontId="9" fillId="47" borderId="69" applyNumberFormat="0" applyProtection="0">
      <alignment horizontal="left" vertical="center" indent="1"/>
    </xf>
    <xf numFmtId="169" fontId="9" fillId="47" borderId="69" applyNumberFormat="0" applyProtection="0">
      <alignment horizontal="center" vertical="center" wrapText="1"/>
    </xf>
    <xf numFmtId="169" fontId="9" fillId="47" borderId="69" applyNumberFormat="0" applyProtection="0">
      <alignment horizontal="left" vertical="center" indent="1"/>
    </xf>
    <xf numFmtId="4" fontId="62" fillId="58" borderId="69" applyNumberFormat="0" applyProtection="0">
      <alignment horizontal="right" vertical="center"/>
    </xf>
    <xf numFmtId="3" fontId="68" fillId="41" borderId="68">
      <alignment vertical="center"/>
    </xf>
    <xf numFmtId="3" fontId="69" fillId="41" borderId="68">
      <alignment vertical="center"/>
    </xf>
    <xf numFmtId="170" fontId="9" fillId="67" borderId="42" applyBorder="0">
      <alignment horizontal="left" vertical="center"/>
    </xf>
    <xf numFmtId="170" fontId="9" fillId="45" borderId="41">
      <alignment horizontal="left" vertical="center" wrapText="1"/>
    </xf>
    <xf numFmtId="170" fontId="9" fillId="68" borderId="41">
      <alignment horizontal="left" vertical="center" wrapText="1"/>
    </xf>
    <xf numFmtId="170" fontId="42" fillId="68" borderId="41">
      <alignment horizontal="left" vertical="center" wrapText="1"/>
    </xf>
    <xf numFmtId="170" fontId="9" fillId="69" borderId="41">
      <alignment horizontal="left" vertical="center" wrapText="1"/>
    </xf>
    <xf numFmtId="164" fontId="1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83" applyNumberFormat="0" applyFill="0" applyAlignment="0" applyProtection="0"/>
    <xf numFmtId="0" fontId="104" fillId="0" borderId="84" applyNumberFormat="0" applyFill="0" applyAlignment="0" applyProtection="0"/>
    <xf numFmtId="0" fontId="11" fillId="0" borderId="85" applyNumberFormat="0" applyFill="0" applyAlignment="0" applyProtection="0"/>
    <xf numFmtId="0" fontId="11" fillId="0" borderId="0" applyNumberFormat="0" applyFill="0" applyBorder="0" applyAlignment="0" applyProtection="0"/>
    <xf numFmtId="0" fontId="105" fillId="75" borderId="0" applyNumberFormat="0" applyBorder="0" applyAlignment="0" applyProtection="0"/>
    <xf numFmtId="0" fontId="12" fillId="23" borderId="0" applyNumberFormat="0" applyBorder="0" applyAlignment="0" applyProtection="0"/>
    <xf numFmtId="0" fontId="106" fillId="76" borderId="0" applyNumberFormat="0" applyBorder="0" applyAlignment="0" applyProtection="0"/>
    <xf numFmtId="0" fontId="107" fillId="77" borderId="86" applyNumberFormat="0" applyAlignment="0" applyProtection="0"/>
    <xf numFmtId="0" fontId="108" fillId="78" borderId="87" applyNumberFormat="0" applyAlignment="0" applyProtection="0"/>
    <xf numFmtId="0" fontId="109" fillId="78" borderId="86" applyNumberFormat="0" applyAlignment="0" applyProtection="0"/>
    <xf numFmtId="0" fontId="110" fillId="0" borderId="88" applyNumberFormat="0" applyFill="0" applyAlignment="0" applyProtection="0"/>
    <xf numFmtId="0" fontId="111" fillId="79" borderId="89" applyNumberFormat="0" applyAlignment="0" applyProtection="0"/>
    <xf numFmtId="0" fontId="73" fillId="0" borderId="0" applyNumberFormat="0" applyFill="0" applyBorder="0" applyAlignment="0" applyProtection="0"/>
    <xf numFmtId="0" fontId="1" fillId="80" borderId="90" applyNumberFormat="0" applyFont="0" applyAlignment="0" applyProtection="0"/>
    <xf numFmtId="0" fontId="112" fillId="0" borderId="0" applyNumberFormat="0" applyFill="0" applyBorder="0" applyAlignment="0" applyProtection="0"/>
    <xf numFmtId="0" fontId="70" fillId="0" borderId="91" applyNumberFormat="0" applyFill="0" applyAlignment="0" applyProtection="0"/>
    <xf numFmtId="0" fontId="113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13" fillId="84" borderId="0" applyNumberFormat="0" applyBorder="0" applyAlignment="0" applyProtection="0"/>
    <xf numFmtId="0" fontId="113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13" fillId="88" borderId="0" applyNumberFormat="0" applyBorder="0" applyAlignment="0" applyProtection="0"/>
    <xf numFmtId="0" fontId="113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13" fillId="92" borderId="0" applyNumberFormat="0" applyBorder="0" applyAlignment="0" applyProtection="0"/>
    <xf numFmtId="0" fontId="113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13" fillId="96" borderId="0" applyNumberFormat="0" applyBorder="0" applyAlignment="0" applyProtection="0"/>
    <xf numFmtId="0" fontId="113" fillId="97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13" fillId="100" borderId="0" applyNumberFormat="0" applyBorder="0" applyAlignment="0" applyProtection="0"/>
    <xf numFmtId="0" fontId="113" fillId="101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13" fillId="10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25" borderId="97" applyNumberFormat="0" applyAlignment="0" applyProtection="0"/>
    <xf numFmtId="0" fontId="18" fillId="26" borderId="97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25" borderId="99" applyNumberFormat="0" applyAlignment="0" applyProtection="0"/>
    <xf numFmtId="0" fontId="29" fillId="0" borderId="100" applyNumberFormat="0" applyFill="0" applyAlignment="0" applyProtection="0"/>
    <xf numFmtId="164" fontId="1" fillId="0" borderId="0" applyFont="0" applyFill="0" applyBorder="0" applyAlignment="0" applyProtection="0"/>
    <xf numFmtId="170" fontId="37" fillId="39" borderId="101">
      <alignment horizontal="left" vertical="top" wrapText="1"/>
    </xf>
    <xf numFmtId="49" fontId="9" fillId="39" borderId="102">
      <alignment vertical="top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32" fillId="46" borderId="99" applyNumberFormat="0" applyProtection="0">
      <alignment vertical="center"/>
    </xf>
    <xf numFmtId="4" fontId="56" fillId="46" borderId="99" applyNumberFormat="0" applyProtection="0">
      <alignment vertical="center"/>
    </xf>
    <xf numFmtId="4" fontId="32" fillId="46" borderId="99" applyNumberFormat="0" applyProtection="0">
      <alignment horizontal="left" vertical="center" indent="1"/>
    </xf>
    <xf numFmtId="4" fontId="32" fillId="46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 shrinkToFi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4" fontId="32" fillId="48" borderId="99" applyNumberFormat="0" applyProtection="0">
      <alignment horizontal="right" vertical="center"/>
    </xf>
    <xf numFmtId="4" fontId="32" fillId="40" borderId="99" applyNumberFormat="0" applyProtection="0">
      <alignment horizontal="right" vertical="center"/>
    </xf>
    <xf numFmtId="4" fontId="32" fillId="49" borderId="99" applyNumberFormat="0" applyProtection="0">
      <alignment horizontal="right" vertical="center"/>
    </xf>
    <xf numFmtId="4" fontId="32" fillId="50" borderId="99" applyNumberFormat="0" applyProtection="0">
      <alignment horizontal="right" vertical="center"/>
    </xf>
    <xf numFmtId="4" fontId="32" fillId="51" borderId="99" applyNumberFormat="0" applyProtection="0">
      <alignment horizontal="right" vertical="center"/>
    </xf>
    <xf numFmtId="4" fontId="32" fillId="52" borderId="99" applyNumberFormat="0" applyProtection="0">
      <alignment horizontal="right" vertical="center"/>
    </xf>
    <xf numFmtId="4" fontId="32" fillId="53" borderId="99" applyNumberFormat="0" applyProtection="0">
      <alignment horizontal="right" vertical="center"/>
    </xf>
    <xf numFmtId="4" fontId="32" fillId="54" borderId="99" applyNumberFormat="0" applyProtection="0">
      <alignment horizontal="right" vertical="center"/>
    </xf>
    <xf numFmtId="4" fontId="32" fillId="55" borderId="99" applyNumberFormat="0" applyProtection="0">
      <alignment horizontal="right" vertical="center"/>
    </xf>
    <xf numFmtId="4" fontId="57" fillId="56" borderId="99" applyNumberFormat="0" applyProtection="0">
      <alignment horizontal="left" vertical="center" indent="1"/>
    </xf>
    <xf numFmtId="4" fontId="57" fillId="57" borderId="99" applyNumberFormat="0" applyProtection="0">
      <alignment horizontal="left" vertical="center" indent="1"/>
    </xf>
    <xf numFmtId="4" fontId="57" fillId="57" borderId="99" applyNumberFormat="0" applyProtection="0">
      <alignment horizontal="left" vertical="center" indent="1"/>
    </xf>
    <xf numFmtId="4" fontId="57" fillId="57" borderId="99" applyNumberFormat="0" applyProtection="0">
      <alignment horizontal="left" vertical="center" indent="1"/>
    </xf>
    <xf numFmtId="4" fontId="32" fillId="58" borderId="103" applyNumberFormat="0" applyProtection="0">
      <alignment horizontal="left" vertical="center" indent="1"/>
    </xf>
    <xf numFmtId="4" fontId="32" fillId="58" borderId="103" applyNumberFormat="0" applyProtection="0">
      <alignment horizontal="left" vertical="center" indent="1"/>
    </xf>
    <xf numFmtId="4" fontId="32" fillId="58" borderId="103" applyNumberFormat="0" applyProtection="0">
      <alignment horizontal="left" vertical="center" indent="1"/>
    </xf>
    <xf numFmtId="4" fontId="32" fillId="58" borderId="103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60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4" fontId="32" fillId="58" borderId="99" applyNumberFormat="0" applyProtection="0">
      <alignment horizontal="left" vertical="center" indent="1"/>
    </xf>
    <xf numFmtId="4" fontId="32" fillId="61" borderId="99" applyNumberFormat="0" applyProtection="0">
      <alignment horizontal="left" vertical="center" indent="1"/>
    </xf>
    <xf numFmtId="169" fontId="59" fillId="62" borderId="99" applyNumberFormat="0" applyProtection="0">
      <alignment horizontal="left" vertical="center" wrapText="1" indent="2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3" borderId="99" applyNumberFormat="0" applyProtection="0">
      <alignment horizontal="left" vertical="center" wrapText="1" indent="2"/>
    </xf>
    <xf numFmtId="169" fontId="9" fillId="64" borderId="99" applyNumberFormat="0" applyProtection="0">
      <alignment horizontal="left" vertical="center" indent="1"/>
    </xf>
    <xf numFmtId="169" fontId="9" fillId="64" borderId="99" applyNumberFormat="0" applyProtection="0">
      <alignment horizontal="left" vertical="center" indent="1"/>
    </xf>
    <xf numFmtId="169" fontId="9" fillId="64" borderId="99" applyNumberFormat="0" applyProtection="0">
      <alignment horizontal="left" vertical="center" indent="1"/>
    </xf>
    <xf numFmtId="169" fontId="9" fillId="64" borderId="99" applyNumberFormat="0" applyProtection="0">
      <alignment horizontal="left" vertical="center" indent="1"/>
    </xf>
    <xf numFmtId="169" fontId="9" fillId="39" borderId="99" applyNumberFormat="0" applyProtection="0">
      <alignment horizontal="left" vertical="center" indent="1"/>
    </xf>
    <xf numFmtId="169" fontId="9" fillId="39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4" fontId="32" fillId="65" borderId="99" applyNumberFormat="0" applyProtection="0">
      <alignment vertical="center"/>
    </xf>
    <xf numFmtId="4" fontId="56" fillId="65" borderId="99" applyNumberFormat="0" applyProtection="0">
      <alignment vertical="center"/>
    </xf>
    <xf numFmtId="4" fontId="32" fillId="65" borderId="99" applyNumberFormat="0" applyProtection="0">
      <alignment horizontal="left" vertical="center" indent="1"/>
    </xf>
    <xf numFmtId="4" fontId="32" fillId="65" borderId="99" applyNumberFormat="0" applyProtection="0">
      <alignment horizontal="left" vertical="center" indent="1"/>
    </xf>
    <xf numFmtId="4" fontId="32" fillId="58" borderId="99" applyNumberFormat="0" applyProtection="0">
      <alignment horizontal="right" vertical="center"/>
    </xf>
    <xf numFmtId="4" fontId="56" fillId="58" borderId="99" applyNumberFormat="0" applyProtection="0">
      <alignment horizontal="right" vertical="center"/>
    </xf>
    <xf numFmtId="169" fontId="9" fillId="47" borderId="99" applyNumberFormat="0" applyProtection="0">
      <alignment horizontal="left" vertical="center" indent="1"/>
    </xf>
    <xf numFmtId="169" fontId="9" fillId="0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center" vertical="center" wrapText="1"/>
    </xf>
    <xf numFmtId="169" fontId="9" fillId="47" borderId="99" applyNumberFormat="0" applyProtection="0">
      <alignment horizontal="left" vertical="center" indent="1"/>
    </xf>
    <xf numFmtId="4" fontId="62" fillId="58" borderId="99" applyNumberFormat="0" applyProtection="0">
      <alignment horizontal="right" vertical="center"/>
    </xf>
    <xf numFmtId="3" fontId="68" fillId="41" borderId="98">
      <alignment vertical="center"/>
    </xf>
    <xf numFmtId="3" fontId="69" fillId="41" borderId="98">
      <alignment vertical="center"/>
    </xf>
    <xf numFmtId="170" fontId="9" fillId="67" borderId="79" applyBorder="0">
      <alignment horizontal="left" vertical="center"/>
    </xf>
    <xf numFmtId="170" fontId="9" fillId="45" borderId="74">
      <alignment horizontal="left" vertical="center" wrapText="1"/>
    </xf>
    <xf numFmtId="170" fontId="9" fillId="68" borderId="74">
      <alignment horizontal="left" vertical="center" wrapText="1"/>
    </xf>
    <xf numFmtId="170" fontId="42" fillId="68" borderId="74">
      <alignment horizontal="left" vertical="center" wrapText="1"/>
    </xf>
    <xf numFmtId="170" fontId="9" fillId="69" borderId="74">
      <alignment horizontal="left" vertical="center" wrapText="1"/>
    </xf>
    <xf numFmtId="164" fontId="1" fillId="0" borderId="0" applyFont="0" applyFill="0" applyBorder="0" applyAlignment="0" applyProtection="0"/>
    <xf numFmtId="0" fontId="16" fillId="25" borderId="97" applyNumberFormat="0" applyAlignment="0" applyProtection="0"/>
    <xf numFmtId="0" fontId="18" fillId="26" borderId="97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25" borderId="99" applyNumberFormat="0" applyAlignment="0" applyProtection="0"/>
    <xf numFmtId="0" fontId="29" fillId="0" borderId="100" applyNumberFormat="0" applyFill="0" applyAlignment="0" applyProtection="0"/>
    <xf numFmtId="164" fontId="1" fillId="0" borderId="0" applyFont="0" applyFill="0" applyBorder="0" applyAlignment="0" applyProtection="0"/>
    <xf numFmtId="170" fontId="37" fillId="39" borderId="101">
      <alignment horizontal="left" vertical="top" wrapText="1"/>
    </xf>
    <xf numFmtId="49" fontId="9" fillId="39" borderId="102">
      <alignment vertical="top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32" fillId="46" borderId="99" applyNumberFormat="0" applyProtection="0">
      <alignment vertical="center"/>
    </xf>
    <xf numFmtId="4" fontId="56" fillId="46" borderId="99" applyNumberFormat="0" applyProtection="0">
      <alignment vertical="center"/>
    </xf>
    <xf numFmtId="4" fontId="32" fillId="46" borderId="99" applyNumberFormat="0" applyProtection="0">
      <alignment horizontal="left" vertical="center" indent="1"/>
    </xf>
    <xf numFmtId="4" fontId="32" fillId="46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 shrinkToFi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4" fontId="32" fillId="48" borderId="99" applyNumberFormat="0" applyProtection="0">
      <alignment horizontal="right" vertical="center"/>
    </xf>
    <xf numFmtId="4" fontId="32" fillId="40" borderId="99" applyNumberFormat="0" applyProtection="0">
      <alignment horizontal="right" vertical="center"/>
    </xf>
    <xf numFmtId="4" fontId="32" fillId="49" borderId="99" applyNumberFormat="0" applyProtection="0">
      <alignment horizontal="right" vertical="center"/>
    </xf>
    <xf numFmtId="4" fontId="32" fillId="50" borderId="99" applyNumberFormat="0" applyProtection="0">
      <alignment horizontal="right" vertical="center"/>
    </xf>
    <xf numFmtId="4" fontId="32" fillId="51" borderId="99" applyNumberFormat="0" applyProtection="0">
      <alignment horizontal="right" vertical="center"/>
    </xf>
    <xf numFmtId="4" fontId="32" fillId="52" borderId="99" applyNumberFormat="0" applyProtection="0">
      <alignment horizontal="right" vertical="center"/>
    </xf>
    <xf numFmtId="4" fontId="32" fillId="53" borderId="99" applyNumberFormat="0" applyProtection="0">
      <alignment horizontal="right" vertical="center"/>
    </xf>
    <xf numFmtId="4" fontId="32" fillId="54" borderId="99" applyNumberFormat="0" applyProtection="0">
      <alignment horizontal="right" vertical="center"/>
    </xf>
    <xf numFmtId="4" fontId="32" fillId="55" borderId="99" applyNumberFormat="0" applyProtection="0">
      <alignment horizontal="right" vertical="center"/>
    </xf>
    <xf numFmtId="4" fontId="57" fillId="56" borderId="99" applyNumberFormat="0" applyProtection="0">
      <alignment horizontal="left" vertical="center" indent="1"/>
    </xf>
    <xf numFmtId="4" fontId="57" fillId="57" borderId="99" applyNumberFormat="0" applyProtection="0">
      <alignment horizontal="left" vertical="center" indent="1"/>
    </xf>
    <xf numFmtId="4" fontId="57" fillId="57" borderId="99" applyNumberFormat="0" applyProtection="0">
      <alignment horizontal="left" vertical="center" indent="1"/>
    </xf>
    <xf numFmtId="4" fontId="57" fillId="57" borderId="99" applyNumberFormat="0" applyProtection="0">
      <alignment horizontal="left" vertical="center" indent="1"/>
    </xf>
    <xf numFmtId="4" fontId="32" fillId="58" borderId="103" applyNumberFormat="0" applyProtection="0">
      <alignment horizontal="left" vertical="center" indent="1"/>
    </xf>
    <xf numFmtId="4" fontId="32" fillId="58" borderId="103" applyNumberFormat="0" applyProtection="0">
      <alignment horizontal="left" vertical="center" indent="1"/>
    </xf>
    <xf numFmtId="4" fontId="32" fillId="58" borderId="103" applyNumberFormat="0" applyProtection="0">
      <alignment horizontal="left" vertical="center" indent="1"/>
    </xf>
    <xf numFmtId="4" fontId="32" fillId="58" borderId="103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60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4" fontId="32" fillId="58" borderId="99" applyNumberFormat="0" applyProtection="0">
      <alignment horizontal="left" vertical="center" indent="1"/>
    </xf>
    <xf numFmtId="4" fontId="32" fillId="61" borderId="99" applyNumberFormat="0" applyProtection="0">
      <alignment horizontal="left" vertical="center" indent="1"/>
    </xf>
    <xf numFmtId="169" fontId="59" fillId="62" borderId="99" applyNumberFormat="0" applyProtection="0">
      <alignment horizontal="left" vertical="center" wrapText="1" indent="2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1" borderId="99" applyNumberFormat="0" applyProtection="0">
      <alignment horizontal="left" vertical="center" indent="1"/>
    </xf>
    <xf numFmtId="169" fontId="9" fillId="63" borderId="99" applyNumberFormat="0" applyProtection="0">
      <alignment horizontal="left" vertical="center" wrapText="1" indent="2"/>
    </xf>
    <xf numFmtId="169" fontId="9" fillId="64" borderId="99" applyNumberFormat="0" applyProtection="0">
      <alignment horizontal="left" vertical="center" indent="1"/>
    </xf>
    <xf numFmtId="169" fontId="9" fillId="64" borderId="99" applyNumberFormat="0" applyProtection="0">
      <alignment horizontal="left" vertical="center" indent="1"/>
    </xf>
    <xf numFmtId="169" fontId="9" fillId="64" borderId="99" applyNumberFormat="0" applyProtection="0">
      <alignment horizontal="left" vertical="center" indent="1"/>
    </xf>
    <xf numFmtId="169" fontId="9" fillId="64" borderId="99" applyNumberFormat="0" applyProtection="0">
      <alignment horizontal="left" vertical="center" indent="1"/>
    </xf>
    <xf numFmtId="169" fontId="9" fillId="39" borderId="99" applyNumberFormat="0" applyProtection="0">
      <alignment horizontal="left" vertical="center" indent="1"/>
    </xf>
    <xf numFmtId="169" fontId="9" fillId="39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4" fontId="32" fillId="65" borderId="99" applyNumberFormat="0" applyProtection="0">
      <alignment vertical="center"/>
    </xf>
    <xf numFmtId="4" fontId="56" fillId="65" borderId="99" applyNumberFormat="0" applyProtection="0">
      <alignment vertical="center"/>
    </xf>
    <xf numFmtId="4" fontId="32" fillId="65" borderId="99" applyNumberFormat="0" applyProtection="0">
      <alignment horizontal="left" vertical="center" indent="1"/>
    </xf>
    <xf numFmtId="4" fontId="32" fillId="65" borderId="99" applyNumberFormat="0" applyProtection="0">
      <alignment horizontal="left" vertical="center" indent="1"/>
    </xf>
    <xf numFmtId="4" fontId="32" fillId="58" borderId="99" applyNumberFormat="0" applyProtection="0">
      <alignment horizontal="right" vertical="center"/>
    </xf>
    <xf numFmtId="4" fontId="56" fillId="58" borderId="99" applyNumberFormat="0" applyProtection="0">
      <alignment horizontal="right" vertical="center"/>
    </xf>
    <xf numFmtId="169" fontId="9" fillId="47" borderId="99" applyNumberFormat="0" applyProtection="0">
      <alignment horizontal="left" vertical="center" indent="1"/>
    </xf>
    <xf numFmtId="169" fontId="9" fillId="0" borderId="99" applyNumberFormat="0" applyProtection="0">
      <alignment horizontal="left" vertical="center" indent="1"/>
    </xf>
    <xf numFmtId="169" fontId="9" fillId="47" borderId="99" applyNumberFormat="0" applyProtection="0">
      <alignment horizontal="left" vertical="center" indent="1"/>
    </xf>
    <xf numFmtId="169" fontId="9" fillId="47" borderId="99" applyNumberFormat="0" applyProtection="0">
      <alignment horizontal="center" vertical="center" wrapText="1"/>
    </xf>
    <xf numFmtId="169" fontId="9" fillId="47" borderId="99" applyNumberFormat="0" applyProtection="0">
      <alignment horizontal="left" vertical="center" indent="1"/>
    </xf>
    <xf numFmtId="4" fontId="62" fillId="58" borderId="99" applyNumberFormat="0" applyProtection="0">
      <alignment horizontal="right" vertical="center"/>
    </xf>
    <xf numFmtId="3" fontId="68" fillId="41" borderId="98">
      <alignment vertical="center"/>
    </xf>
    <xf numFmtId="3" fontId="69" fillId="41" borderId="98">
      <alignment vertical="center"/>
    </xf>
    <xf numFmtId="170" fontId="9" fillId="67" borderId="79" applyBorder="0">
      <alignment horizontal="left" vertical="center"/>
    </xf>
    <xf numFmtId="170" fontId="9" fillId="45" borderId="74">
      <alignment horizontal="left" vertical="center" wrapText="1"/>
    </xf>
    <xf numFmtId="170" fontId="9" fillId="68" borderId="74">
      <alignment horizontal="left" vertical="center" wrapText="1"/>
    </xf>
    <xf numFmtId="170" fontId="42" fillId="68" borderId="74">
      <alignment horizontal="left" vertical="center" wrapText="1"/>
    </xf>
    <xf numFmtId="170" fontId="9" fillId="69" borderId="74">
      <alignment horizontal="left" vertical="center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25" borderId="106" applyNumberFormat="0" applyAlignment="0" applyProtection="0"/>
    <xf numFmtId="0" fontId="18" fillId="26" borderId="106" applyNumberFormat="0" applyAlignment="0" applyProtection="0"/>
    <xf numFmtId="0" fontId="23" fillId="25" borderId="108" applyNumberFormat="0" applyAlignment="0" applyProtection="0"/>
    <xf numFmtId="0" fontId="29" fillId="0" borderId="109" applyNumberFormat="0" applyFill="0" applyAlignment="0" applyProtection="0"/>
    <xf numFmtId="170" fontId="37" fillId="39" borderId="110">
      <alignment horizontal="left" vertical="top" wrapText="1"/>
    </xf>
    <xf numFmtId="49" fontId="9" fillId="39" borderId="111">
      <alignment vertical="top" wrapText="1"/>
    </xf>
    <xf numFmtId="4" fontId="32" fillId="46" borderId="108" applyNumberFormat="0" applyProtection="0">
      <alignment vertical="center"/>
    </xf>
    <xf numFmtId="4" fontId="56" fillId="46" borderId="108" applyNumberFormat="0" applyProtection="0">
      <alignment vertical="center"/>
    </xf>
    <xf numFmtId="4" fontId="32" fillId="46" borderId="108" applyNumberFormat="0" applyProtection="0">
      <alignment horizontal="left" vertical="center" indent="1"/>
    </xf>
    <xf numFmtId="4" fontId="32" fillId="46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 shrinkToFit="1"/>
    </xf>
    <xf numFmtId="169" fontId="9" fillId="47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4" fontId="32" fillId="48" borderId="108" applyNumberFormat="0" applyProtection="0">
      <alignment horizontal="right" vertical="center"/>
    </xf>
    <xf numFmtId="4" fontId="32" fillId="40" borderId="108" applyNumberFormat="0" applyProtection="0">
      <alignment horizontal="right" vertical="center"/>
    </xf>
    <xf numFmtId="4" fontId="32" fillId="49" borderId="108" applyNumberFormat="0" applyProtection="0">
      <alignment horizontal="right" vertical="center"/>
    </xf>
    <xf numFmtId="4" fontId="32" fillId="50" borderId="108" applyNumberFormat="0" applyProtection="0">
      <alignment horizontal="right" vertical="center"/>
    </xf>
    <xf numFmtId="4" fontId="32" fillId="51" borderId="108" applyNumberFormat="0" applyProtection="0">
      <alignment horizontal="right" vertical="center"/>
    </xf>
    <xf numFmtId="4" fontId="32" fillId="52" borderId="108" applyNumberFormat="0" applyProtection="0">
      <alignment horizontal="right" vertical="center"/>
    </xf>
    <xf numFmtId="4" fontId="32" fillId="53" borderId="108" applyNumberFormat="0" applyProtection="0">
      <alignment horizontal="right" vertical="center"/>
    </xf>
    <xf numFmtId="4" fontId="32" fillId="54" borderId="108" applyNumberFormat="0" applyProtection="0">
      <alignment horizontal="right" vertical="center"/>
    </xf>
    <xf numFmtId="4" fontId="32" fillId="55" borderId="108" applyNumberFormat="0" applyProtection="0">
      <alignment horizontal="right" vertical="center"/>
    </xf>
    <xf numFmtId="4" fontId="57" fillId="56" borderId="108" applyNumberFormat="0" applyProtection="0">
      <alignment horizontal="left" vertical="center" indent="1"/>
    </xf>
    <xf numFmtId="4" fontId="57" fillId="57" borderId="108" applyNumberFormat="0" applyProtection="0">
      <alignment horizontal="left" vertical="center" indent="1"/>
    </xf>
    <xf numFmtId="4" fontId="57" fillId="57" borderId="108" applyNumberFormat="0" applyProtection="0">
      <alignment horizontal="left" vertical="center" indent="1"/>
    </xf>
    <xf numFmtId="4" fontId="57" fillId="57" borderId="108" applyNumberFormat="0" applyProtection="0">
      <alignment horizontal="left" vertical="center" indent="1"/>
    </xf>
    <xf numFmtId="4" fontId="32" fillId="58" borderId="112" applyNumberFormat="0" applyProtection="0">
      <alignment horizontal="left" vertical="center" indent="1"/>
    </xf>
    <xf numFmtId="4" fontId="32" fillId="58" borderId="112" applyNumberFormat="0" applyProtection="0">
      <alignment horizontal="left" vertical="center" indent="1"/>
    </xf>
    <xf numFmtId="4" fontId="32" fillId="58" borderId="112" applyNumberFormat="0" applyProtection="0">
      <alignment horizontal="left" vertical="center" indent="1"/>
    </xf>
    <xf numFmtId="4" fontId="32" fillId="58" borderId="112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169" fontId="9" fillId="60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4" fontId="32" fillId="58" borderId="108" applyNumberFormat="0" applyProtection="0">
      <alignment horizontal="left" vertical="center" indent="1"/>
    </xf>
    <xf numFmtId="4" fontId="32" fillId="61" borderId="108" applyNumberFormat="0" applyProtection="0">
      <alignment horizontal="left" vertical="center" indent="1"/>
    </xf>
    <xf numFmtId="169" fontId="59" fillId="62" borderId="108" applyNumberFormat="0" applyProtection="0">
      <alignment horizontal="left" vertical="center" wrapText="1" indent="2"/>
    </xf>
    <xf numFmtId="169" fontId="9" fillId="61" borderId="108" applyNumberFormat="0" applyProtection="0">
      <alignment horizontal="left" vertical="center" indent="1"/>
    </xf>
    <xf numFmtId="169" fontId="9" fillId="61" borderId="108" applyNumberFormat="0" applyProtection="0">
      <alignment horizontal="left" vertical="center" indent="1"/>
    </xf>
    <xf numFmtId="169" fontId="9" fillId="61" borderId="108" applyNumberFormat="0" applyProtection="0">
      <alignment horizontal="left" vertical="center" indent="1"/>
    </xf>
    <xf numFmtId="169" fontId="9" fillId="61" borderId="108" applyNumberFormat="0" applyProtection="0">
      <alignment horizontal="left" vertical="center" indent="1"/>
    </xf>
    <xf numFmtId="169" fontId="9" fillId="61" borderId="108" applyNumberFormat="0" applyProtection="0">
      <alignment horizontal="left" vertical="center" indent="1"/>
    </xf>
    <xf numFmtId="169" fontId="9" fillId="61" borderId="108" applyNumberFormat="0" applyProtection="0">
      <alignment horizontal="left" vertical="center" indent="1"/>
    </xf>
    <xf numFmtId="169" fontId="9" fillId="61" borderId="108" applyNumberFormat="0" applyProtection="0">
      <alignment horizontal="left" vertical="center" indent="1"/>
    </xf>
    <xf numFmtId="169" fontId="9" fillId="61" borderId="108" applyNumberFormat="0" applyProtection="0">
      <alignment horizontal="left" vertical="center" indent="1"/>
    </xf>
    <xf numFmtId="169" fontId="9" fillId="63" borderId="108" applyNumberFormat="0" applyProtection="0">
      <alignment horizontal="left" vertical="center" wrapText="1" indent="2"/>
    </xf>
    <xf numFmtId="169" fontId="9" fillId="64" borderId="108" applyNumberFormat="0" applyProtection="0">
      <alignment horizontal="left" vertical="center" indent="1"/>
    </xf>
    <xf numFmtId="169" fontId="9" fillId="64" borderId="108" applyNumberFormat="0" applyProtection="0">
      <alignment horizontal="left" vertical="center" indent="1"/>
    </xf>
    <xf numFmtId="169" fontId="9" fillId="64" borderId="108" applyNumberFormat="0" applyProtection="0">
      <alignment horizontal="left" vertical="center" indent="1"/>
    </xf>
    <xf numFmtId="169" fontId="9" fillId="64" borderId="108" applyNumberFormat="0" applyProtection="0">
      <alignment horizontal="left" vertical="center" indent="1"/>
    </xf>
    <xf numFmtId="169" fontId="9" fillId="39" borderId="108" applyNumberFormat="0" applyProtection="0">
      <alignment horizontal="left" vertical="center" indent="1"/>
    </xf>
    <xf numFmtId="169" fontId="9" fillId="39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4" fontId="32" fillId="65" borderId="108" applyNumberFormat="0" applyProtection="0">
      <alignment vertical="center"/>
    </xf>
    <xf numFmtId="4" fontId="56" fillId="65" borderId="108" applyNumberFormat="0" applyProtection="0">
      <alignment vertical="center"/>
    </xf>
    <xf numFmtId="4" fontId="32" fillId="65" borderId="108" applyNumberFormat="0" applyProtection="0">
      <alignment horizontal="left" vertical="center" indent="1"/>
    </xf>
    <xf numFmtId="4" fontId="32" fillId="65" borderId="108" applyNumberFormat="0" applyProtection="0">
      <alignment horizontal="left" vertical="center" indent="1"/>
    </xf>
    <xf numFmtId="4" fontId="32" fillId="58" borderId="108" applyNumberFormat="0" applyProtection="0">
      <alignment horizontal="right" vertical="center"/>
    </xf>
    <xf numFmtId="4" fontId="56" fillId="58" borderId="108" applyNumberFormat="0" applyProtection="0">
      <alignment horizontal="right" vertical="center"/>
    </xf>
    <xf numFmtId="169" fontId="9" fillId="47" borderId="108" applyNumberFormat="0" applyProtection="0">
      <alignment horizontal="left" vertical="center" indent="1"/>
    </xf>
    <xf numFmtId="169" fontId="9" fillId="0" borderId="108" applyNumberFormat="0" applyProtection="0">
      <alignment horizontal="left" vertical="center" indent="1"/>
    </xf>
    <xf numFmtId="169" fontId="9" fillId="47" borderId="108" applyNumberFormat="0" applyProtection="0">
      <alignment horizontal="left" vertical="center" indent="1"/>
    </xf>
    <xf numFmtId="169" fontId="9" fillId="47" borderId="108" applyNumberFormat="0" applyProtection="0">
      <alignment horizontal="center" vertical="center" wrapText="1"/>
    </xf>
    <xf numFmtId="169" fontId="9" fillId="47" borderId="108" applyNumberFormat="0" applyProtection="0">
      <alignment horizontal="left" vertical="center" indent="1"/>
    </xf>
    <xf numFmtId="4" fontId="62" fillId="58" borderId="108" applyNumberFormat="0" applyProtection="0">
      <alignment horizontal="right" vertical="center"/>
    </xf>
    <xf numFmtId="3" fontId="68" fillId="41" borderId="107">
      <alignment vertical="center"/>
    </xf>
    <xf numFmtId="3" fontId="69" fillId="41" borderId="107">
      <alignment vertical="center"/>
    </xf>
    <xf numFmtId="170" fontId="9" fillId="67" borderId="105" applyBorder="0">
      <alignment horizontal="left" vertical="center"/>
    </xf>
    <xf numFmtId="170" fontId="9" fillId="45" borderId="104">
      <alignment horizontal="left" vertical="center" wrapText="1"/>
    </xf>
    <xf numFmtId="170" fontId="9" fillId="68" borderId="104">
      <alignment horizontal="left" vertical="center" wrapText="1"/>
    </xf>
    <xf numFmtId="170" fontId="42" fillId="68" borderId="104">
      <alignment horizontal="left" vertical="center" wrapText="1"/>
    </xf>
    <xf numFmtId="170" fontId="9" fillId="69" borderId="104">
      <alignment horizontal="left" vertical="center" wrapText="1"/>
    </xf>
  </cellStyleXfs>
  <cellXfs count="666">
    <xf numFmtId="0" fontId="0" fillId="0" borderId="0" xfId="0"/>
    <xf numFmtId="0" fontId="0" fillId="2" borderId="0" xfId="0" applyFill="1"/>
    <xf numFmtId="0" fontId="3" fillId="2" borderId="0" xfId="0" applyFont="1" applyFill="1"/>
    <xf numFmtId="0" fontId="7" fillId="2" borderId="0" xfId="0" applyFont="1" applyFill="1"/>
    <xf numFmtId="3" fontId="3" fillId="2" borderId="0" xfId="0" applyNumberFormat="1" applyFont="1" applyFill="1"/>
    <xf numFmtId="0" fontId="6" fillId="15" borderId="4" xfId="0" applyFont="1" applyFill="1" applyBorder="1" applyAlignment="1">
      <alignment horizontal="left" vertical="center"/>
    </xf>
    <xf numFmtId="0" fontId="5" fillId="18" borderId="5" xfId="0" applyFont="1" applyFill="1" applyBorder="1"/>
    <xf numFmtId="0" fontId="4" fillId="19" borderId="7" xfId="0" applyFont="1" applyFill="1" applyBorder="1" applyAlignment="1">
      <alignment horizontal="left" vertical="center" wrapText="1"/>
    </xf>
    <xf numFmtId="0" fontId="8" fillId="19" borderId="7" xfId="0" applyFont="1" applyFill="1" applyBorder="1" applyAlignment="1">
      <alignment horizontal="left" vertical="center" wrapText="1"/>
    </xf>
    <xf numFmtId="0" fontId="4" fillId="19" borderId="9" xfId="0" applyFont="1" applyFill="1" applyBorder="1" applyAlignment="1">
      <alignment horizontal="left" vertical="center" wrapText="1"/>
    </xf>
    <xf numFmtId="9" fontId="3" fillId="21" borderId="10" xfId="1" applyFont="1" applyFill="1" applyBorder="1"/>
    <xf numFmtId="166" fontId="3" fillId="2" borderId="0" xfId="0" applyNumberFormat="1" applyFont="1" applyFill="1"/>
    <xf numFmtId="165" fontId="3" fillId="2" borderId="0" xfId="1" applyNumberFormat="1" applyFont="1" applyFill="1"/>
    <xf numFmtId="0" fontId="2" fillId="2" borderId="0" xfId="0" applyFont="1" applyFill="1"/>
    <xf numFmtId="9" fontId="3" fillId="21" borderId="10" xfId="1" applyFont="1" applyFill="1" applyBorder="1" applyAlignment="1"/>
    <xf numFmtId="9" fontId="3" fillId="21" borderId="11" xfId="1" applyFont="1" applyFill="1" applyBorder="1" applyAlignment="1"/>
    <xf numFmtId="0" fontId="5" fillId="2" borderId="0" xfId="0" applyFont="1" applyFill="1"/>
    <xf numFmtId="0" fontId="0" fillId="0" borderId="0" xfId="0" applyAlignment="1">
      <alignment vertical="top"/>
    </xf>
    <xf numFmtId="1" fontId="3" fillId="2" borderId="0" xfId="0" applyNumberFormat="1" applyFont="1" applyFill="1"/>
    <xf numFmtId="9" fontId="3" fillId="2" borderId="41" xfId="1" applyFont="1" applyFill="1" applyBorder="1"/>
    <xf numFmtId="0" fontId="70" fillId="2" borderId="0" xfId="0" applyFont="1" applyFill="1"/>
    <xf numFmtId="9" fontId="3" fillId="0" borderId="8" xfId="1" applyFont="1" applyFill="1" applyBorder="1"/>
    <xf numFmtId="0" fontId="7" fillId="2" borderId="0" xfId="0" applyFont="1" applyFill="1" applyAlignment="1">
      <alignment wrapText="1"/>
    </xf>
    <xf numFmtId="9" fontId="3" fillId="0" borderId="41" xfId="1" applyFont="1" applyFill="1" applyBorder="1"/>
    <xf numFmtId="0" fontId="71" fillId="2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18" borderId="6" xfId="0" applyFont="1" applyFill="1" applyBorder="1"/>
    <xf numFmtId="9" fontId="0" fillId="0" borderId="0" xfId="1" applyFont="1"/>
    <xf numFmtId="0" fontId="8" fillId="19" borderId="49" xfId="0" applyFont="1" applyFill="1" applyBorder="1" applyAlignment="1">
      <alignment horizontal="left" vertical="center" wrapText="1"/>
    </xf>
    <xf numFmtId="3" fontId="3" fillId="2" borderId="50" xfId="0" applyNumberFormat="1" applyFont="1" applyFill="1" applyBorder="1"/>
    <xf numFmtId="3" fontId="3" fillId="0" borderId="50" xfId="0" applyNumberFormat="1" applyFont="1" applyBorder="1"/>
    <xf numFmtId="3" fontId="3" fillId="0" borderId="51" xfId="0" applyNumberFormat="1" applyFont="1" applyBorder="1"/>
    <xf numFmtId="167" fontId="3" fillId="2" borderId="0" xfId="0" applyNumberFormat="1" applyFont="1" applyFill="1"/>
    <xf numFmtId="184" fontId="72" fillId="0" borderId="0" xfId="291" applyNumberFormat="1" applyFont="1" applyFill="1" applyBorder="1" applyAlignment="1">
      <alignment horizontal="right" vertical="center" wrapText="1" readingOrder="1"/>
    </xf>
    <xf numFmtId="0" fontId="0" fillId="22" borderId="0" xfId="0" applyFill="1"/>
    <xf numFmtId="0" fontId="76" fillId="2" borderId="0" xfId="0" applyFont="1" applyFill="1"/>
    <xf numFmtId="0" fontId="77" fillId="2" borderId="0" xfId="0" applyFont="1" applyFill="1"/>
    <xf numFmtId="0" fontId="78" fillId="15" borderId="4" xfId="0" applyFont="1" applyFill="1" applyBorder="1" applyAlignment="1">
      <alignment horizontal="left" vertical="center"/>
    </xf>
    <xf numFmtId="0" fontId="79" fillId="2" borderId="5" xfId="0" applyFont="1" applyFill="1" applyBorder="1" applyAlignment="1">
      <alignment horizontal="center" vertical="center"/>
    </xf>
    <xf numFmtId="0" fontId="80" fillId="18" borderId="5" xfId="0" applyFont="1" applyFill="1" applyBorder="1"/>
    <xf numFmtId="0" fontId="80" fillId="18" borderId="6" xfId="0" applyFont="1" applyFill="1" applyBorder="1"/>
    <xf numFmtId="0" fontId="81" fillId="15" borderId="7" xfId="0" applyFont="1" applyFill="1" applyBorder="1" applyAlignment="1">
      <alignment horizontal="left" vertical="center"/>
    </xf>
    <xf numFmtId="0" fontId="79" fillId="2" borderId="41" xfId="0" applyFont="1" applyFill="1" applyBorder="1" applyAlignment="1">
      <alignment horizontal="center" vertical="center"/>
    </xf>
    <xf numFmtId="0" fontId="80" fillId="18" borderId="41" xfId="0" applyFont="1" applyFill="1" applyBorder="1"/>
    <xf numFmtId="0" fontId="80" fillId="18" borderId="8" xfId="0" applyFont="1" applyFill="1" applyBorder="1"/>
    <xf numFmtId="0" fontId="81" fillId="19" borderId="7" xfId="0" applyFont="1" applyFill="1" applyBorder="1" applyAlignment="1">
      <alignment horizontal="left" vertical="center" wrapText="1"/>
    </xf>
    <xf numFmtId="0" fontId="79" fillId="22" borderId="41" xfId="0" applyFont="1" applyFill="1" applyBorder="1" applyAlignment="1">
      <alignment horizontal="center" vertical="center" wrapText="1"/>
    </xf>
    <xf numFmtId="1" fontId="82" fillId="0" borderId="41" xfId="0" applyNumberFormat="1" applyFont="1" applyBorder="1" applyAlignment="1">
      <alignment horizontal="right" vertical="center"/>
    </xf>
    <xf numFmtId="1" fontId="82" fillId="17" borderId="8" xfId="0" applyNumberFormat="1" applyFont="1" applyFill="1" applyBorder="1" applyAlignment="1">
      <alignment horizontal="right" vertical="center"/>
    </xf>
    <xf numFmtId="1" fontId="82" fillId="5" borderId="41" xfId="0" applyNumberFormat="1" applyFont="1" applyFill="1" applyBorder="1" applyAlignment="1">
      <alignment horizontal="right" vertical="center"/>
    </xf>
    <xf numFmtId="1" fontId="82" fillId="5" borderId="8" xfId="0" applyNumberFormat="1" applyFont="1" applyFill="1" applyBorder="1" applyAlignment="1">
      <alignment horizontal="right" vertical="center"/>
    </xf>
    <xf numFmtId="0" fontId="83" fillId="19" borderId="7" xfId="0" applyFont="1" applyFill="1" applyBorder="1" applyAlignment="1">
      <alignment horizontal="left" vertical="center" wrapText="1"/>
    </xf>
    <xf numFmtId="11" fontId="80" fillId="72" borderId="41" xfId="116" applyNumberFormat="1" applyFont="1" applyFill="1" applyBorder="1" applyAlignment="1">
      <alignment horizontal="center" vertical="center" wrapText="1"/>
    </xf>
    <xf numFmtId="1" fontId="82" fillId="21" borderId="41" xfId="0" applyNumberFormat="1" applyFont="1" applyFill="1" applyBorder="1" applyAlignment="1">
      <alignment horizontal="right" vertical="center"/>
    </xf>
    <xf numFmtId="1" fontId="76" fillId="21" borderId="41" xfId="0" applyNumberFormat="1" applyFont="1" applyFill="1" applyBorder="1" applyAlignment="1">
      <alignment horizontal="right"/>
    </xf>
    <xf numFmtId="3" fontId="76" fillId="21" borderId="41" xfId="0" applyNumberFormat="1" applyFont="1" applyFill="1" applyBorder="1"/>
    <xf numFmtId="167" fontId="82" fillId="2" borderId="41" xfId="0" applyNumberFormat="1" applyFont="1" applyFill="1" applyBorder="1" applyAlignment="1">
      <alignment horizontal="right" vertical="center"/>
    </xf>
    <xf numFmtId="167" fontId="82" fillId="0" borderId="41" xfId="0" applyNumberFormat="1" applyFont="1" applyBorder="1" applyAlignment="1">
      <alignment horizontal="right" vertical="center"/>
    </xf>
    <xf numFmtId="0" fontId="76" fillId="21" borderId="41" xfId="0" applyFont="1" applyFill="1" applyBorder="1"/>
    <xf numFmtId="167" fontId="82" fillId="21" borderId="41" xfId="0" applyNumberFormat="1" applyFont="1" applyFill="1" applyBorder="1" applyAlignment="1">
      <alignment horizontal="right" vertical="center"/>
    </xf>
    <xf numFmtId="0" fontId="80" fillId="5" borderId="9" xfId="0" applyFont="1" applyFill="1" applyBorder="1" applyAlignment="1">
      <alignment horizontal="left" vertical="center" wrapText="1"/>
    </xf>
    <xf numFmtId="0" fontId="79" fillId="71" borderId="10" xfId="116" applyFont="1" applyFill="1" applyBorder="1" applyAlignment="1">
      <alignment horizontal="center" vertical="center" wrapText="1"/>
    </xf>
    <xf numFmtId="0" fontId="79" fillId="5" borderId="10" xfId="0" applyFont="1" applyFill="1" applyBorder="1" applyAlignment="1">
      <alignment horizontal="center" vertical="center"/>
    </xf>
    <xf numFmtId="9" fontId="76" fillId="5" borderId="10" xfId="1" applyFont="1" applyFill="1" applyBorder="1"/>
    <xf numFmtId="9" fontId="76" fillId="5" borderId="11" xfId="1" applyFont="1" applyFill="1" applyBorder="1"/>
    <xf numFmtId="0" fontId="78" fillId="15" borderId="5" xfId="0" applyFont="1" applyFill="1" applyBorder="1" applyAlignment="1">
      <alignment horizontal="left" vertical="center"/>
    </xf>
    <xf numFmtId="0" fontId="81" fillId="15" borderId="41" xfId="0" applyFont="1" applyFill="1" applyBorder="1" applyAlignment="1">
      <alignment horizontal="left" vertical="center"/>
    </xf>
    <xf numFmtId="0" fontId="79" fillId="21" borderId="41" xfId="0" applyFont="1" applyFill="1" applyBorder="1" applyAlignment="1">
      <alignment horizontal="center" vertical="center"/>
    </xf>
    <xf numFmtId="3" fontId="84" fillId="21" borderId="41" xfId="0" applyNumberFormat="1" applyFont="1" applyFill="1" applyBorder="1"/>
    <xf numFmtId="9" fontId="76" fillId="2" borderId="41" xfId="1" applyFont="1" applyFill="1" applyBorder="1"/>
    <xf numFmtId="9" fontId="76" fillId="0" borderId="41" xfId="1" applyFont="1" applyFill="1" applyBorder="1"/>
    <xf numFmtId="9" fontId="76" fillId="21" borderId="41" xfId="1" applyFont="1" applyFill="1" applyBorder="1"/>
    <xf numFmtId="9" fontId="76" fillId="73" borderId="41" xfId="1" applyFont="1" applyFill="1" applyBorder="1"/>
    <xf numFmtId="166" fontId="82" fillId="0" borderId="41" xfId="0" applyNumberFormat="1" applyFont="1" applyBorder="1" applyAlignment="1">
      <alignment horizontal="right" vertical="center"/>
    </xf>
    <xf numFmtId="0" fontId="81" fillId="19" borderId="9" xfId="0" applyFont="1" applyFill="1" applyBorder="1" applyAlignment="1">
      <alignment horizontal="left" vertical="center" wrapText="1"/>
    </xf>
    <xf numFmtId="11" fontId="80" fillId="72" borderId="10" xfId="116" applyNumberFormat="1" applyFont="1" applyFill="1" applyBorder="1" applyAlignment="1">
      <alignment horizontal="center" vertical="center" wrapText="1"/>
    </xf>
    <xf numFmtId="0" fontId="79" fillId="2" borderId="10" xfId="0" applyFont="1" applyFill="1" applyBorder="1" applyAlignment="1">
      <alignment horizontal="center" vertical="center"/>
    </xf>
    <xf numFmtId="1" fontId="82" fillId="21" borderId="10" xfId="0" applyNumberFormat="1" applyFont="1" applyFill="1" applyBorder="1" applyAlignment="1">
      <alignment horizontal="right" vertical="center"/>
    </xf>
    <xf numFmtId="1" fontId="76" fillId="21" borderId="10" xfId="0" applyNumberFormat="1" applyFont="1" applyFill="1" applyBorder="1" applyAlignment="1">
      <alignment horizontal="right"/>
    </xf>
    <xf numFmtId="9" fontId="76" fillId="21" borderId="10" xfId="1" applyFont="1" applyFill="1" applyBorder="1"/>
    <xf numFmtId="9" fontId="76" fillId="2" borderId="10" xfId="1" applyFont="1" applyFill="1" applyBorder="1"/>
    <xf numFmtId="9" fontId="76" fillId="0" borderId="10" xfId="1" applyFont="1" applyFill="1" applyBorder="1"/>
    <xf numFmtId="0" fontId="76" fillId="0" borderId="0" xfId="0" applyFont="1"/>
    <xf numFmtId="0" fontId="76" fillId="0" borderId="13" xfId="0" applyFont="1" applyBorder="1"/>
    <xf numFmtId="0" fontId="79" fillId="2" borderId="3" xfId="0" applyFont="1" applyFill="1" applyBorder="1" applyAlignment="1">
      <alignment horizontal="center" vertical="center"/>
    </xf>
    <xf numFmtId="11" fontId="80" fillId="72" borderId="3" xfId="116" applyNumberFormat="1" applyFont="1" applyFill="1" applyBorder="1" applyAlignment="1">
      <alignment horizontal="center" vertical="center" wrapText="1"/>
    </xf>
    <xf numFmtId="0" fontId="79" fillId="5" borderId="7" xfId="0" applyFont="1" applyFill="1" applyBorder="1" applyAlignment="1">
      <alignment horizontal="left" vertical="center" wrapText="1"/>
    </xf>
    <xf numFmtId="0" fontId="79" fillId="71" borderId="3" xfId="116" applyFont="1" applyFill="1" applyBorder="1" applyAlignment="1">
      <alignment horizontal="center" vertical="center" wrapText="1"/>
    </xf>
    <xf numFmtId="166" fontId="82" fillId="5" borderId="8" xfId="0" applyNumberFormat="1" applyFont="1" applyFill="1" applyBorder="1" applyAlignment="1">
      <alignment horizontal="right" vertical="center"/>
    </xf>
    <xf numFmtId="3" fontId="82" fillId="2" borderId="10" xfId="0" applyNumberFormat="1" applyFont="1" applyFill="1" applyBorder="1" applyAlignment="1">
      <alignment horizontal="right" vertical="center"/>
    </xf>
    <xf numFmtId="0" fontId="80" fillId="2" borderId="0" xfId="0" applyFont="1" applyFill="1"/>
    <xf numFmtId="3" fontId="76" fillId="5" borderId="41" xfId="0" applyNumberFormat="1" applyFont="1" applyFill="1" applyBorder="1"/>
    <xf numFmtId="3" fontId="76" fillId="5" borderId="8" xfId="0" applyNumberFormat="1" applyFont="1" applyFill="1" applyBorder="1"/>
    <xf numFmtId="165" fontId="76" fillId="2" borderId="0" xfId="1" applyNumberFormat="1" applyFont="1" applyFill="1"/>
    <xf numFmtId="3" fontId="76" fillId="2" borderId="41" xfId="0" applyNumberFormat="1" applyFont="1" applyFill="1" applyBorder="1"/>
    <xf numFmtId="3" fontId="76" fillId="0" borderId="41" xfId="0" applyNumberFormat="1" applyFont="1" applyBorder="1"/>
    <xf numFmtId="3" fontId="76" fillId="17" borderId="8" xfId="0" applyNumberFormat="1" applyFont="1" applyFill="1" applyBorder="1"/>
    <xf numFmtId="166" fontId="76" fillId="2" borderId="41" xfId="0" applyNumberFormat="1" applyFont="1" applyFill="1" applyBorder="1"/>
    <xf numFmtId="166" fontId="76" fillId="0" borderId="41" xfId="0" applyNumberFormat="1" applyFont="1" applyBorder="1"/>
    <xf numFmtId="166" fontId="76" fillId="17" borderId="8" xfId="0" applyNumberFormat="1" applyFont="1" applyFill="1" applyBorder="1"/>
    <xf numFmtId="0" fontId="78" fillId="15" borderId="43" xfId="0" applyFont="1" applyFill="1" applyBorder="1" applyAlignment="1">
      <alignment horizontal="left" vertical="center"/>
    </xf>
    <xf numFmtId="0" fontId="81" fillId="15" borderId="46" xfId="0" applyFont="1" applyFill="1" applyBorder="1" applyAlignment="1">
      <alignment horizontal="left" vertical="center"/>
    </xf>
    <xf numFmtId="165" fontId="76" fillId="0" borderId="41" xfId="1" applyNumberFormat="1" applyFont="1" applyFill="1" applyBorder="1"/>
    <xf numFmtId="166" fontId="82" fillId="2" borderId="41" xfId="0" applyNumberFormat="1" applyFont="1" applyFill="1" applyBorder="1" applyAlignment="1">
      <alignment horizontal="right" vertical="center"/>
    </xf>
    <xf numFmtId="0" fontId="79" fillId="71" borderId="41" xfId="116" applyFont="1" applyFill="1" applyBorder="1" applyAlignment="1">
      <alignment horizontal="center" vertical="center" wrapText="1"/>
    </xf>
    <xf numFmtId="0" fontId="79" fillId="5" borderId="41" xfId="0" applyFont="1" applyFill="1" applyBorder="1" applyAlignment="1">
      <alignment horizontal="center" vertical="center"/>
    </xf>
    <xf numFmtId="3" fontId="82" fillId="5" borderId="41" xfId="0" applyNumberFormat="1" applyFont="1" applyFill="1" applyBorder="1" applyAlignment="1">
      <alignment horizontal="right" vertical="center"/>
    </xf>
    <xf numFmtId="3" fontId="82" fillId="5" borderId="8" xfId="0" applyNumberFormat="1" applyFont="1" applyFill="1" applyBorder="1" applyAlignment="1">
      <alignment horizontal="right" vertical="center"/>
    </xf>
    <xf numFmtId="166" fontId="82" fillId="5" borderId="41" xfId="0" applyNumberFormat="1" applyFont="1" applyFill="1" applyBorder="1" applyAlignment="1">
      <alignment horizontal="right" vertical="center"/>
    </xf>
    <xf numFmtId="3" fontId="82" fillId="2" borderId="41" xfId="0" applyNumberFormat="1" applyFont="1" applyFill="1" applyBorder="1" applyAlignment="1">
      <alignment horizontal="right" vertical="center"/>
    </xf>
    <xf numFmtId="3" fontId="82" fillId="0" borderId="41" xfId="0" applyNumberFormat="1" applyFont="1" applyBorder="1" applyAlignment="1">
      <alignment horizontal="right" vertical="center"/>
    </xf>
    <xf numFmtId="0" fontId="81" fillId="0" borderId="0" xfId="0" applyFont="1" applyAlignment="1">
      <alignment horizontal="center" vertical="center"/>
    </xf>
    <xf numFmtId="3" fontId="76" fillId="21" borderId="8" xfId="0" applyNumberFormat="1" applyFont="1" applyFill="1" applyBorder="1"/>
    <xf numFmtId="0" fontId="80" fillId="5" borderId="7" xfId="0" applyFont="1" applyFill="1" applyBorder="1" applyAlignment="1">
      <alignment horizontal="left" vertical="center" wrapText="1"/>
    </xf>
    <xf numFmtId="9" fontId="76" fillId="5" borderId="41" xfId="1" applyFont="1" applyFill="1" applyBorder="1"/>
    <xf numFmtId="165" fontId="76" fillId="5" borderId="41" xfId="1" applyNumberFormat="1" applyFont="1" applyFill="1" applyBorder="1"/>
    <xf numFmtId="165" fontId="76" fillId="5" borderId="8" xfId="1" applyNumberFormat="1" applyFont="1" applyFill="1" applyBorder="1"/>
    <xf numFmtId="165" fontId="76" fillId="5" borderId="10" xfId="1" applyNumberFormat="1" applyFont="1" applyFill="1" applyBorder="1"/>
    <xf numFmtId="165" fontId="76" fillId="5" borderId="11" xfId="1" applyNumberFormat="1" applyFont="1" applyFill="1" applyBorder="1"/>
    <xf numFmtId="9" fontId="76" fillId="21" borderId="10" xfId="1" applyFont="1" applyFill="1" applyBorder="1" applyAlignment="1"/>
    <xf numFmtId="9" fontId="76" fillId="73" borderId="10" xfId="1" applyFont="1" applyFill="1" applyBorder="1" applyAlignment="1"/>
    <xf numFmtId="0" fontId="81" fillId="0" borderId="0" xfId="0" applyFont="1" applyAlignment="1">
      <alignment wrapText="1"/>
    </xf>
    <xf numFmtId="1" fontId="82" fillId="0" borderId="10" xfId="0" applyNumberFormat="1" applyFont="1" applyBorder="1" applyAlignment="1">
      <alignment horizontal="right" vertical="center"/>
    </xf>
    <xf numFmtId="0" fontId="86" fillId="2" borderId="0" xfId="0" applyFont="1" applyFill="1"/>
    <xf numFmtId="9" fontId="76" fillId="5" borderId="8" xfId="1" applyFont="1" applyFill="1" applyBorder="1"/>
    <xf numFmtId="167" fontId="76" fillId="2" borderId="41" xfId="0" applyNumberFormat="1" applyFont="1" applyFill="1" applyBorder="1"/>
    <xf numFmtId="167" fontId="82" fillId="73" borderId="41" xfId="0" applyNumberFormat="1" applyFont="1" applyFill="1" applyBorder="1" applyAlignment="1">
      <alignment horizontal="right" vertical="center"/>
    </xf>
    <xf numFmtId="166" fontId="82" fillId="5" borderId="59" xfId="0" applyNumberFormat="1" applyFont="1" applyFill="1" applyBorder="1" applyAlignment="1">
      <alignment horizontal="right" vertical="center"/>
    </xf>
    <xf numFmtId="166" fontId="82" fillId="2" borderId="10" xfId="0" applyNumberFormat="1" applyFont="1" applyFill="1" applyBorder="1" applyAlignment="1">
      <alignment horizontal="right" vertical="center"/>
    </xf>
    <xf numFmtId="0" fontId="76" fillId="2" borderId="0" xfId="0" applyFont="1" applyFill="1" applyAlignment="1">
      <alignment vertical="center"/>
    </xf>
    <xf numFmtId="0" fontId="78" fillId="9" borderId="4" xfId="0" applyFont="1" applyFill="1" applyBorder="1" applyAlignment="1">
      <alignment horizontal="left" vertical="center"/>
    </xf>
    <xf numFmtId="0" fontId="80" fillId="8" borderId="6" xfId="0" applyFont="1" applyFill="1" applyBorder="1"/>
    <xf numFmtId="0" fontId="81" fillId="9" borderId="7" xfId="0" applyFont="1" applyFill="1" applyBorder="1" applyAlignment="1">
      <alignment horizontal="left" vertical="center"/>
    </xf>
    <xf numFmtId="0" fontId="80" fillId="8" borderId="8" xfId="0" applyFont="1" applyFill="1" applyBorder="1"/>
    <xf numFmtId="0" fontId="81" fillId="13" borderId="7" xfId="0" applyFont="1" applyFill="1" applyBorder="1" applyAlignment="1">
      <alignment horizontal="left" vertical="center" wrapText="1"/>
    </xf>
    <xf numFmtId="166" fontId="76" fillId="5" borderId="8" xfId="0" applyNumberFormat="1" applyFont="1" applyFill="1" applyBorder="1" applyAlignment="1">
      <alignment vertical="center"/>
    </xf>
    <xf numFmtId="0" fontId="81" fillId="13" borderId="9" xfId="0" applyFont="1" applyFill="1" applyBorder="1" applyAlignment="1">
      <alignment horizontal="left" vertical="center" wrapText="1"/>
    </xf>
    <xf numFmtId="167" fontId="87" fillId="2" borderId="0" xfId="0" applyNumberFormat="1" applyFont="1" applyFill="1"/>
    <xf numFmtId="0" fontId="78" fillId="9" borderId="5" xfId="0" applyFont="1" applyFill="1" applyBorder="1" applyAlignment="1">
      <alignment horizontal="left" vertical="center"/>
    </xf>
    <xf numFmtId="0" fontId="81" fillId="9" borderId="3" xfId="0" applyFont="1" applyFill="1" applyBorder="1" applyAlignment="1">
      <alignment horizontal="left" vertical="center"/>
    </xf>
    <xf numFmtId="167" fontId="76" fillId="17" borderId="8" xfId="0" applyNumberFormat="1" applyFont="1" applyFill="1" applyBorder="1"/>
    <xf numFmtId="0" fontId="82" fillId="2" borderId="0" xfId="0" applyFont="1" applyFill="1"/>
    <xf numFmtId="167" fontId="80" fillId="5" borderId="8" xfId="0" applyNumberFormat="1" applyFont="1" applyFill="1" applyBorder="1"/>
    <xf numFmtId="0" fontId="80" fillId="7" borderId="8" xfId="0" applyFont="1" applyFill="1" applyBorder="1" applyAlignment="1">
      <alignment horizontal="center" vertical="center"/>
    </xf>
    <xf numFmtId="3" fontId="76" fillId="2" borderId="0" xfId="0" applyNumberFormat="1" applyFont="1" applyFill="1"/>
    <xf numFmtId="0" fontId="83" fillId="13" borderId="7" xfId="0" applyFont="1" applyFill="1" applyBorder="1" applyAlignment="1">
      <alignment horizontal="left" vertical="center" wrapText="1"/>
    </xf>
    <xf numFmtId="2" fontId="82" fillId="5" borderId="11" xfId="1" applyNumberFormat="1" applyFont="1" applyFill="1" applyBorder="1" applyAlignment="1">
      <alignment horizontal="right"/>
    </xf>
    <xf numFmtId="0" fontId="81" fillId="9" borderId="41" xfId="0" applyFont="1" applyFill="1" applyBorder="1" applyAlignment="1">
      <alignment horizontal="left" vertical="center"/>
    </xf>
    <xf numFmtId="0" fontId="81" fillId="9" borderId="60" xfId="0" applyFont="1" applyFill="1" applyBorder="1" applyAlignment="1">
      <alignment horizontal="left" vertical="center"/>
    </xf>
    <xf numFmtId="0" fontId="81" fillId="9" borderId="57" xfId="0" applyFont="1" applyFill="1" applyBorder="1" applyAlignment="1">
      <alignment horizontal="left" vertical="center"/>
    </xf>
    <xf numFmtId="0" fontId="79" fillId="2" borderId="59" xfId="0" applyFont="1" applyFill="1" applyBorder="1" applyAlignment="1">
      <alignment horizontal="center" vertical="center"/>
    </xf>
    <xf numFmtId="0" fontId="80" fillId="8" borderId="59" xfId="0" applyFont="1" applyFill="1" applyBorder="1" applyAlignment="1">
      <alignment horizontal="center"/>
    </xf>
    <xf numFmtId="0" fontId="80" fillId="8" borderId="52" xfId="0" applyFont="1" applyFill="1" applyBorder="1" applyAlignment="1">
      <alignment horizontal="center"/>
    </xf>
    <xf numFmtId="167" fontId="76" fillId="21" borderId="8" xfId="0" applyNumberFormat="1" applyFont="1" applyFill="1" applyBorder="1"/>
    <xf numFmtId="1" fontId="76" fillId="21" borderId="8" xfId="0" applyNumberFormat="1" applyFont="1" applyFill="1" applyBorder="1"/>
    <xf numFmtId="165" fontId="76" fillId="21" borderId="8" xfId="1" applyNumberFormat="1" applyFont="1" applyFill="1" applyBorder="1"/>
    <xf numFmtId="167" fontId="76" fillId="5" borderId="8" xfId="0" applyNumberFormat="1" applyFont="1" applyFill="1" applyBorder="1"/>
    <xf numFmtId="0" fontId="79" fillId="2" borderId="42" xfId="0" applyFont="1" applyFill="1" applyBorder="1" applyAlignment="1">
      <alignment horizontal="center" vertical="center"/>
    </xf>
    <xf numFmtId="1" fontId="76" fillId="0" borderId="3" xfId="0" applyNumberFormat="1" applyFont="1" applyBorder="1"/>
    <xf numFmtId="0" fontId="81" fillId="13" borderId="60" xfId="0" applyFont="1" applyFill="1" applyBorder="1" applyAlignment="1">
      <alignment horizontal="right" vertical="center" wrapText="1"/>
    </xf>
    <xf numFmtId="0" fontId="81" fillId="13" borderId="7" xfId="0" applyFont="1" applyFill="1" applyBorder="1" applyAlignment="1">
      <alignment horizontal="right" vertical="center" wrapText="1"/>
    </xf>
    <xf numFmtId="165" fontId="76" fillId="0" borderId="0" xfId="1" applyNumberFormat="1" applyFont="1" applyFill="1" applyBorder="1"/>
    <xf numFmtId="183" fontId="82" fillId="2" borderId="0" xfId="291" applyNumberFormat="1" applyFont="1" applyFill="1" applyBorder="1" applyAlignment="1">
      <alignment horizontal="right" vertical="center"/>
    </xf>
    <xf numFmtId="0" fontId="80" fillId="8" borderId="5" xfId="0" applyFont="1" applyFill="1" applyBorder="1"/>
    <xf numFmtId="0" fontId="80" fillId="8" borderId="41" xfId="0" applyFont="1" applyFill="1" applyBorder="1"/>
    <xf numFmtId="166" fontId="76" fillId="0" borderId="41" xfId="0" applyNumberFormat="1" applyFont="1" applyBorder="1" applyAlignment="1">
      <alignment vertical="center"/>
    </xf>
    <xf numFmtId="0" fontId="85" fillId="2" borderId="0" xfId="0" applyFont="1" applyFill="1"/>
    <xf numFmtId="166" fontId="76" fillId="2" borderId="0" xfId="0" applyNumberFormat="1" applyFont="1" applyFill="1"/>
    <xf numFmtId="3" fontId="76" fillId="0" borderId="41" xfId="0" applyNumberFormat="1" applyFont="1" applyBorder="1" applyAlignment="1">
      <alignment vertical="center"/>
    </xf>
    <xf numFmtId="3" fontId="76" fillId="17" borderId="8" xfId="0" applyNumberFormat="1" applyFont="1" applyFill="1" applyBorder="1" applyAlignment="1">
      <alignment vertical="center"/>
    </xf>
    <xf numFmtId="1" fontId="76" fillId="0" borderId="10" xfId="0" applyNumberFormat="1" applyFont="1" applyBorder="1" applyAlignment="1">
      <alignment vertical="center"/>
    </xf>
    <xf numFmtId="167" fontId="76" fillId="21" borderId="41" xfId="0" applyNumberFormat="1" applyFont="1" applyFill="1" applyBorder="1"/>
    <xf numFmtId="167" fontId="76" fillId="0" borderId="41" xfId="0" applyNumberFormat="1" applyFont="1" applyBorder="1"/>
    <xf numFmtId="167" fontId="82" fillId="17" borderId="8" xfId="0" applyNumberFormat="1" applyFont="1" applyFill="1" applyBorder="1"/>
    <xf numFmtId="1" fontId="76" fillId="2" borderId="0" xfId="0" applyNumberFormat="1" applyFont="1" applyFill="1"/>
    <xf numFmtId="167" fontId="82" fillId="0" borderId="41" xfId="0" applyNumberFormat="1" applyFont="1" applyBorder="1"/>
    <xf numFmtId="167" fontId="82" fillId="21" borderId="8" xfId="0" applyNumberFormat="1" applyFont="1" applyFill="1" applyBorder="1"/>
    <xf numFmtId="165" fontId="89" fillId="2" borderId="0" xfId="1" applyNumberFormat="1" applyFont="1" applyFill="1"/>
    <xf numFmtId="167" fontId="80" fillId="5" borderId="41" xfId="0" applyNumberFormat="1" applyFont="1" applyFill="1" applyBorder="1"/>
    <xf numFmtId="0" fontId="85" fillId="2" borderId="0" xfId="0" applyFont="1" applyFill="1" applyAlignment="1">
      <alignment horizontal="left"/>
    </xf>
    <xf numFmtId="167" fontId="82" fillId="0" borderId="41" xfId="0" applyNumberFormat="1" applyFont="1" applyBorder="1" applyAlignment="1">
      <alignment horizontal="right"/>
    </xf>
    <xf numFmtId="167" fontId="82" fillId="2" borderId="41" xfId="0" applyNumberFormat="1" applyFont="1" applyFill="1" applyBorder="1" applyAlignment="1">
      <alignment horizontal="right"/>
    </xf>
    <xf numFmtId="0" fontId="85" fillId="2" borderId="0" xfId="0" quotePrefix="1" applyFont="1" applyFill="1"/>
    <xf numFmtId="167" fontId="76" fillId="2" borderId="0" xfId="0" applyNumberFormat="1" applyFont="1" applyFill="1"/>
    <xf numFmtId="167" fontId="76" fillId="21" borderId="10" xfId="0" applyNumberFormat="1" applyFont="1" applyFill="1" applyBorder="1"/>
    <xf numFmtId="167" fontId="76" fillId="0" borderId="10" xfId="0" applyNumberFormat="1" applyFont="1" applyBorder="1"/>
    <xf numFmtId="167" fontId="80" fillId="2" borderId="0" xfId="0" applyNumberFormat="1" applyFont="1" applyFill="1"/>
    <xf numFmtId="2" fontId="82" fillId="5" borderId="41" xfId="1" applyNumberFormat="1" applyFont="1" applyFill="1" applyBorder="1" applyAlignment="1">
      <alignment horizontal="right"/>
    </xf>
    <xf numFmtId="2" fontId="76" fillId="5" borderId="41" xfId="1" applyNumberFormat="1" applyFont="1" applyFill="1" applyBorder="1"/>
    <xf numFmtId="2" fontId="76" fillId="5" borderId="8" xfId="1" applyNumberFormat="1" applyFont="1" applyFill="1" applyBorder="1"/>
    <xf numFmtId="2" fontId="82" fillId="5" borderId="10" xfId="1" applyNumberFormat="1" applyFont="1" applyFill="1" applyBorder="1" applyAlignment="1">
      <alignment horizontal="right"/>
    </xf>
    <xf numFmtId="9" fontId="82" fillId="0" borderId="41" xfId="1" applyFont="1" applyFill="1" applyBorder="1" applyAlignment="1">
      <alignment horizontal="right"/>
    </xf>
    <xf numFmtId="9" fontId="76" fillId="11" borderId="3" xfId="1" applyFont="1" applyFill="1" applyBorder="1"/>
    <xf numFmtId="9" fontId="76" fillId="11" borderId="8" xfId="1" applyFont="1" applyFill="1" applyBorder="1"/>
    <xf numFmtId="9" fontId="82" fillId="0" borderId="10" xfId="1" applyFont="1" applyFill="1" applyBorder="1" applyAlignment="1">
      <alignment horizontal="right"/>
    </xf>
    <xf numFmtId="9" fontId="82" fillId="11" borderId="10" xfId="1" applyFont="1" applyFill="1" applyBorder="1" applyAlignment="1">
      <alignment horizontal="right"/>
    </xf>
    <xf numFmtId="9" fontId="82" fillId="11" borderId="11" xfId="1" applyFont="1" applyFill="1" applyBorder="1" applyAlignment="1">
      <alignment horizontal="right"/>
    </xf>
    <xf numFmtId="0" fontId="81" fillId="9" borderId="46" xfId="0" applyFont="1" applyFill="1" applyBorder="1" applyAlignment="1">
      <alignment horizontal="left" vertical="center"/>
    </xf>
    <xf numFmtId="0" fontId="80" fillId="8" borderId="41" xfId="0" applyFont="1" applyFill="1" applyBorder="1" applyAlignment="1">
      <alignment horizontal="center"/>
    </xf>
    <xf numFmtId="0" fontId="80" fillId="8" borderId="8" xfId="0" applyFont="1" applyFill="1" applyBorder="1" applyAlignment="1">
      <alignment horizontal="center"/>
    </xf>
    <xf numFmtId="9" fontId="82" fillId="11" borderId="3" xfId="1" applyFont="1" applyFill="1" applyBorder="1" applyAlignment="1">
      <alignment horizontal="right"/>
    </xf>
    <xf numFmtId="9" fontId="82" fillId="11" borderId="8" xfId="1" applyFont="1" applyFill="1" applyBorder="1" applyAlignment="1">
      <alignment horizontal="right"/>
    </xf>
    <xf numFmtId="9" fontId="76" fillId="11" borderId="10" xfId="1" applyFont="1" applyFill="1" applyBorder="1"/>
    <xf numFmtId="1" fontId="76" fillId="74" borderId="41" xfId="0" applyNumberFormat="1" applyFont="1" applyFill="1" applyBorder="1"/>
    <xf numFmtId="1" fontId="76" fillId="0" borderId="41" xfId="0" applyNumberFormat="1" applyFont="1" applyBorder="1"/>
    <xf numFmtId="1" fontId="76" fillId="2" borderId="41" xfId="0" applyNumberFormat="1" applyFont="1" applyFill="1" applyBorder="1"/>
    <xf numFmtId="1" fontId="76" fillId="5" borderId="41" xfId="0" applyNumberFormat="1" applyFont="1" applyFill="1" applyBorder="1"/>
    <xf numFmtId="1" fontId="76" fillId="21" borderId="41" xfId="0" applyNumberFormat="1" applyFont="1" applyFill="1" applyBorder="1"/>
    <xf numFmtId="165" fontId="76" fillId="74" borderId="41" xfId="1" applyNumberFormat="1" applyFont="1" applyFill="1" applyBorder="1"/>
    <xf numFmtId="165" fontId="76" fillId="21" borderId="41" xfId="1" applyNumberFormat="1" applyFont="1" applyFill="1" applyBorder="1"/>
    <xf numFmtId="167" fontId="76" fillId="5" borderId="41" xfId="0" applyNumberFormat="1" applyFont="1" applyFill="1" applyBorder="1"/>
    <xf numFmtId="2" fontId="85" fillId="21" borderId="41" xfId="0" applyNumberFormat="1" applyFont="1" applyFill="1" applyBorder="1"/>
    <xf numFmtId="167" fontId="76" fillId="0" borderId="8" xfId="0" applyNumberFormat="1" applyFont="1" applyBorder="1"/>
    <xf numFmtId="1" fontId="85" fillId="21" borderId="41" xfId="0" applyNumberFormat="1" applyFont="1" applyFill="1" applyBorder="1" applyAlignment="1">
      <alignment horizontal="right" vertical="center"/>
    </xf>
    <xf numFmtId="182" fontId="85" fillId="21" borderId="41" xfId="0" applyNumberFormat="1" applyFont="1" applyFill="1" applyBorder="1"/>
    <xf numFmtId="167" fontId="82" fillId="21" borderId="41" xfId="0" applyNumberFormat="1" applyFont="1" applyFill="1" applyBorder="1" applyAlignment="1">
      <alignment horizontal="right"/>
    </xf>
    <xf numFmtId="167" fontId="82" fillId="5" borderId="41" xfId="0" applyNumberFormat="1" applyFont="1" applyFill="1" applyBorder="1" applyAlignment="1">
      <alignment horizontal="right"/>
    </xf>
    <xf numFmtId="167" fontId="82" fillId="5" borderId="8" xfId="0" applyNumberFormat="1" applyFont="1" applyFill="1" applyBorder="1" applyAlignment="1">
      <alignment horizontal="right"/>
    </xf>
    <xf numFmtId="165" fontId="76" fillId="0" borderId="41" xfId="1" applyNumberFormat="1" applyFont="1" applyFill="1" applyBorder="1" applyAlignment="1">
      <alignment horizontal="right"/>
    </xf>
    <xf numFmtId="183" fontId="82" fillId="2" borderId="41" xfId="291" applyNumberFormat="1" applyFont="1" applyFill="1" applyBorder="1" applyAlignment="1">
      <alignment horizontal="right" vertical="center"/>
    </xf>
    <xf numFmtId="183" fontId="76" fillId="2" borderId="41" xfId="291" applyNumberFormat="1" applyFont="1" applyFill="1" applyBorder="1" applyAlignment="1">
      <alignment horizontal="right" vertical="center"/>
    </xf>
    <xf numFmtId="1" fontId="76" fillId="0" borderId="0" xfId="0" applyNumberFormat="1" applyFont="1"/>
    <xf numFmtId="183" fontId="76" fillId="2" borderId="0" xfId="291" applyNumberFormat="1" applyFont="1" applyFill="1" applyBorder="1" applyAlignment="1">
      <alignment horizontal="right" vertical="center"/>
    </xf>
    <xf numFmtId="1" fontId="88" fillId="0" borderId="41" xfId="0" applyNumberFormat="1" applyFont="1" applyBorder="1" applyAlignment="1">
      <alignment horizontal="right" vertical="center"/>
    </xf>
    <xf numFmtId="0" fontId="76" fillId="2" borderId="0" xfId="0" applyFont="1" applyFill="1" applyAlignment="1">
      <alignment wrapText="1"/>
    </xf>
    <xf numFmtId="183" fontId="76" fillId="2" borderId="41" xfId="0" applyNumberFormat="1" applyFont="1" applyFill="1" applyBorder="1"/>
    <xf numFmtId="4" fontId="76" fillId="2" borderId="41" xfId="0" applyNumberFormat="1" applyFont="1" applyFill="1" applyBorder="1"/>
    <xf numFmtId="0" fontId="78" fillId="10" borderId="4" xfId="0" applyFont="1" applyFill="1" applyBorder="1" applyAlignment="1">
      <alignment horizontal="left" vertical="center"/>
    </xf>
    <xf numFmtId="0" fontId="80" fillId="11" borderId="5" xfId="0" applyFont="1" applyFill="1" applyBorder="1"/>
    <xf numFmtId="0" fontId="80" fillId="11" borderId="6" xfId="0" applyFont="1" applyFill="1" applyBorder="1"/>
    <xf numFmtId="0" fontId="90" fillId="10" borderId="7" xfId="0" applyFont="1" applyFill="1" applyBorder="1" applyAlignment="1">
      <alignment horizontal="left" vertical="center"/>
    </xf>
    <xf numFmtId="0" fontId="80" fillId="11" borderId="41" xfId="0" applyFont="1" applyFill="1" applyBorder="1"/>
    <xf numFmtId="0" fontId="80" fillId="11" borderId="8" xfId="0" applyFont="1" applyFill="1" applyBorder="1"/>
    <xf numFmtId="0" fontId="81" fillId="14" borderId="7" xfId="0" applyFont="1" applyFill="1" applyBorder="1" applyAlignment="1">
      <alignment horizontal="left" vertical="center" wrapText="1"/>
    </xf>
    <xf numFmtId="0" fontId="91" fillId="22" borderId="41" xfId="116" applyFont="1" applyFill="1" applyBorder="1" applyAlignment="1">
      <alignment horizontal="center" vertical="center" wrapText="1"/>
    </xf>
    <xf numFmtId="0" fontId="76" fillId="0" borderId="41" xfId="0" applyFont="1" applyBorder="1" applyAlignment="1">
      <alignment horizontal="center"/>
    </xf>
    <xf numFmtId="0" fontId="82" fillId="0" borderId="41" xfId="0" applyFont="1" applyBorder="1" applyAlignment="1">
      <alignment horizontal="center" vertical="center"/>
    </xf>
    <xf numFmtId="3" fontId="82" fillId="0" borderId="41" xfId="0" applyNumberFormat="1" applyFont="1" applyBorder="1"/>
    <xf numFmtId="3" fontId="82" fillId="0" borderId="8" xfId="0" applyNumberFormat="1" applyFont="1" applyBorder="1"/>
    <xf numFmtId="0" fontId="82" fillId="21" borderId="41" xfId="0" applyFont="1" applyFill="1" applyBorder="1" applyAlignment="1">
      <alignment horizontal="center" vertical="center"/>
    </xf>
    <xf numFmtId="3" fontId="82" fillId="2" borderId="41" xfId="0" applyNumberFormat="1" applyFont="1" applyFill="1" applyBorder="1"/>
    <xf numFmtId="3" fontId="82" fillId="17" borderId="8" xfId="0" applyNumberFormat="1" applyFont="1" applyFill="1" applyBorder="1"/>
    <xf numFmtId="9" fontId="76" fillId="2" borderId="0" xfId="0" applyNumberFormat="1" applyFont="1" applyFill="1"/>
    <xf numFmtId="0" fontId="92" fillId="5" borderId="7" xfId="0" applyFont="1" applyFill="1" applyBorder="1" applyAlignment="1">
      <alignment horizontal="left" vertical="center" wrapText="1"/>
    </xf>
    <xf numFmtId="0" fontId="79" fillId="5" borderId="41" xfId="0" applyFont="1" applyFill="1" applyBorder="1" applyAlignment="1">
      <alignment horizontal="center" vertical="center" wrapText="1"/>
    </xf>
    <xf numFmtId="0" fontId="92" fillId="5" borderId="9" xfId="0" applyFont="1" applyFill="1" applyBorder="1" applyAlignment="1">
      <alignment horizontal="left" vertical="center" wrapText="1"/>
    </xf>
    <xf numFmtId="0" fontId="79" fillId="5" borderId="10" xfId="0" applyFont="1" applyFill="1" applyBorder="1" applyAlignment="1">
      <alignment horizontal="center" vertical="center" wrapText="1"/>
    </xf>
    <xf numFmtId="0" fontId="78" fillId="10" borderId="5" xfId="0" applyFont="1" applyFill="1" applyBorder="1" applyAlignment="1">
      <alignment horizontal="left" vertical="center"/>
    </xf>
    <xf numFmtId="0" fontId="90" fillId="10" borderId="41" xfId="0" applyFont="1" applyFill="1" applyBorder="1" applyAlignment="1">
      <alignment horizontal="left" vertical="center"/>
    </xf>
    <xf numFmtId="3" fontId="76" fillId="21" borderId="41" xfId="1" applyNumberFormat="1" applyFont="1" applyFill="1" applyBorder="1"/>
    <xf numFmtId="3" fontId="76" fillId="2" borderId="41" xfId="1" applyNumberFormat="1" applyFont="1" applyFill="1" applyBorder="1"/>
    <xf numFmtId="3" fontId="76" fillId="0" borderId="41" xfId="1" applyNumberFormat="1" applyFont="1" applyFill="1" applyBorder="1"/>
    <xf numFmtId="1" fontId="76" fillId="0" borderId="41" xfId="1" applyNumberFormat="1" applyFont="1" applyFill="1" applyBorder="1"/>
    <xf numFmtId="4" fontId="76" fillId="5" borderId="41" xfId="0" applyNumberFormat="1" applyFont="1" applyFill="1" applyBorder="1"/>
    <xf numFmtId="4" fontId="76" fillId="5" borderId="8" xfId="0" applyNumberFormat="1" applyFont="1" applyFill="1" applyBorder="1"/>
    <xf numFmtId="3" fontId="79" fillId="5" borderId="41" xfId="0" applyNumberFormat="1" applyFont="1" applyFill="1" applyBorder="1" applyAlignment="1">
      <alignment horizontal="right" vertical="center"/>
    </xf>
    <xf numFmtId="3" fontId="80" fillId="5" borderId="41" xfId="1" applyNumberFormat="1" applyFont="1" applyFill="1" applyBorder="1" applyAlignment="1">
      <alignment horizontal="right" vertical="center"/>
    </xf>
    <xf numFmtId="3" fontId="80" fillId="5" borderId="41" xfId="1" applyNumberFormat="1" applyFont="1" applyFill="1" applyBorder="1" applyAlignment="1">
      <alignment vertical="center"/>
    </xf>
    <xf numFmtId="3" fontId="80" fillId="5" borderId="8" xfId="1" applyNumberFormat="1" applyFont="1" applyFill="1" applyBorder="1" applyAlignment="1">
      <alignment vertical="center"/>
    </xf>
    <xf numFmtId="0" fontId="83" fillId="14" borderId="7" xfId="0" applyFont="1" applyFill="1" applyBorder="1" applyAlignment="1">
      <alignment horizontal="left" vertical="center" wrapText="1"/>
    </xf>
    <xf numFmtId="3" fontId="76" fillId="0" borderId="41" xfId="1" applyNumberFormat="1" applyFont="1" applyFill="1" applyBorder="1" applyAlignment="1">
      <alignment horizontal="right" vertical="center"/>
    </xf>
    <xf numFmtId="3" fontId="76" fillId="0" borderId="41" xfId="1" applyNumberFormat="1" applyFont="1" applyFill="1" applyBorder="1" applyAlignment="1">
      <alignment vertical="center"/>
    </xf>
    <xf numFmtId="3" fontId="76" fillId="5" borderId="41" xfId="1" applyNumberFormat="1" applyFont="1" applyFill="1" applyBorder="1" applyAlignment="1">
      <alignment horizontal="right" vertical="center"/>
    </xf>
    <xf numFmtId="3" fontId="76" fillId="5" borderId="41" xfId="0" applyNumberFormat="1" applyFont="1" applyFill="1" applyBorder="1" applyAlignment="1">
      <alignment vertical="center"/>
    </xf>
    <xf numFmtId="3" fontId="76" fillId="5" borderId="41" xfId="1" applyNumberFormat="1" applyFont="1" applyFill="1" applyBorder="1" applyAlignment="1">
      <alignment vertical="center"/>
    </xf>
    <xf numFmtId="3" fontId="76" fillId="5" borderId="8" xfId="0" applyNumberFormat="1" applyFont="1" applyFill="1" applyBorder="1" applyAlignment="1">
      <alignment vertical="center"/>
    </xf>
    <xf numFmtId="3" fontId="82" fillId="0" borderId="41" xfId="1" applyNumberFormat="1" applyFont="1" applyFill="1" applyBorder="1" applyAlignment="1">
      <alignment vertical="center"/>
    </xf>
    <xf numFmtId="3" fontId="82" fillId="0" borderId="41" xfId="0" applyNumberFormat="1" applyFont="1" applyBorder="1" applyAlignment="1">
      <alignment vertical="center"/>
    </xf>
    <xf numFmtId="3" fontId="82" fillId="17" borderId="8" xfId="0" applyNumberFormat="1" applyFont="1" applyFill="1" applyBorder="1" applyAlignment="1">
      <alignment vertical="center"/>
    </xf>
    <xf numFmtId="3" fontId="82" fillId="21" borderId="3" xfId="0" applyNumberFormat="1" applyFont="1" applyFill="1" applyBorder="1" applyAlignment="1">
      <alignment horizontal="right" vertical="center"/>
    </xf>
    <xf numFmtId="3" fontId="76" fillId="21" borderId="3" xfId="1" applyNumberFormat="1" applyFont="1" applyFill="1" applyBorder="1" applyAlignment="1">
      <alignment horizontal="right" vertical="center"/>
    </xf>
    <xf numFmtId="3" fontId="76" fillId="21" borderId="3" xfId="0" applyNumberFormat="1" applyFont="1" applyFill="1" applyBorder="1" applyAlignment="1">
      <alignment vertical="center"/>
    </xf>
    <xf numFmtId="3" fontId="82" fillId="21" borderId="3" xfId="1" applyNumberFormat="1" applyFont="1" applyFill="1" applyBorder="1" applyAlignment="1">
      <alignment vertical="center"/>
    </xf>
    <xf numFmtId="3" fontId="76" fillId="0" borderId="3" xfId="0" applyNumberFormat="1" applyFont="1" applyBorder="1" applyAlignment="1">
      <alignment vertical="center"/>
    </xf>
    <xf numFmtId="3" fontId="76" fillId="21" borderId="41" xfId="0" applyNumberFormat="1" applyFont="1" applyFill="1" applyBorder="1" applyAlignment="1">
      <alignment vertical="center"/>
    </xf>
    <xf numFmtId="3" fontId="76" fillId="21" borderId="8" xfId="0" applyNumberFormat="1" applyFont="1" applyFill="1" applyBorder="1" applyAlignment="1">
      <alignment vertical="center"/>
    </xf>
    <xf numFmtId="3" fontId="76" fillId="21" borderId="3" xfId="1" applyNumberFormat="1" applyFont="1" applyFill="1" applyBorder="1" applyAlignment="1">
      <alignment vertical="center"/>
    </xf>
    <xf numFmtId="3" fontId="76" fillId="21" borderId="41" xfId="0" applyNumberFormat="1" applyFont="1" applyFill="1" applyBorder="1" applyAlignment="1">
      <alignment horizontal="right" vertical="center"/>
    </xf>
    <xf numFmtId="9" fontId="82" fillId="5" borderId="41" xfId="1" applyFont="1" applyFill="1" applyBorder="1" applyAlignment="1">
      <alignment horizontal="right" vertical="center"/>
    </xf>
    <xf numFmtId="9" fontId="76" fillId="5" borderId="41" xfId="1" applyFont="1" applyFill="1" applyBorder="1" applyAlignment="1">
      <alignment horizontal="right" vertical="center"/>
    </xf>
    <xf numFmtId="9" fontId="76" fillId="5" borderId="41" xfId="1" applyFont="1" applyFill="1" applyBorder="1" applyAlignment="1">
      <alignment vertical="center"/>
    </xf>
    <xf numFmtId="9" fontId="76" fillId="5" borderId="8" xfId="1" applyFont="1" applyFill="1" applyBorder="1" applyAlignment="1">
      <alignment vertical="center"/>
    </xf>
    <xf numFmtId="166" fontId="82" fillId="21" borderId="41" xfId="0" applyNumberFormat="1" applyFont="1" applyFill="1" applyBorder="1" applyAlignment="1">
      <alignment horizontal="right" vertical="center"/>
    </xf>
    <xf numFmtId="166" fontId="76" fillId="21" borderId="41" xfId="1" applyNumberFormat="1" applyFont="1" applyFill="1" applyBorder="1" applyAlignment="1">
      <alignment horizontal="right" vertical="center"/>
    </xf>
    <xf numFmtId="166" fontId="76" fillId="21" borderId="41" xfId="0" applyNumberFormat="1" applyFont="1" applyFill="1" applyBorder="1" applyAlignment="1">
      <alignment vertical="center"/>
    </xf>
    <xf numFmtId="166" fontId="76" fillId="0" borderId="41" xfId="1" applyNumberFormat="1" applyFont="1" applyFill="1" applyBorder="1" applyAlignment="1">
      <alignment vertical="center"/>
    </xf>
    <xf numFmtId="166" fontId="76" fillId="2" borderId="41" xfId="0" applyNumberFormat="1" applyFont="1" applyFill="1" applyBorder="1" applyAlignment="1">
      <alignment vertical="center"/>
    </xf>
    <xf numFmtId="3" fontId="80" fillId="5" borderId="41" xfId="0" applyNumberFormat="1" applyFont="1" applyFill="1" applyBorder="1" applyAlignment="1">
      <alignment vertical="center"/>
    </xf>
    <xf numFmtId="3" fontId="80" fillId="5" borderId="8" xfId="0" applyNumberFormat="1" applyFont="1" applyFill="1" applyBorder="1" applyAlignment="1">
      <alignment vertical="center"/>
    </xf>
    <xf numFmtId="0" fontId="81" fillId="14" borderId="9" xfId="0" applyFont="1" applyFill="1" applyBorder="1" applyAlignment="1">
      <alignment horizontal="left" vertical="center"/>
    </xf>
    <xf numFmtId="3" fontId="80" fillId="5" borderId="10" xfId="0" applyNumberFormat="1" applyFont="1" applyFill="1" applyBorder="1" applyAlignment="1">
      <alignment vertical="center"/>
    </xf>
    <xf numFmtId="3" fontId="79" fillId="5" borderId="11" xfId="1" applyNumberFormat="1" applyFont="1" applyFill="1" applyBorder="1" applyAlignment="1">
      <alignment vertical="center"/>
    </xf>
    <xf numFmtId="4" fontId="76" fillId="2" borderId="0" xfId="0" applyNumberFormat="1" applyFont="1" applyFill="1"/>
    <xf numFmtId="0" fontId="79" fillId="5" borderId="7" xfId="0" applyFont="1" applyFill="1" applyBorder="1" applyAlignment="1">
      <alignment horizontal="left" vertical="center"/>
    </xf>
    <xf numFmtId="165" fontId="79" fillId="5" borderId="41" xfId="1" applyNumberFormat="1" applyFont="1" applyFill="1" applyBorder="1"/>
    <xf numFmtId="165" fontId="82" fillId="5" borderId="41" xfId="1" applyNumberFormat="1" applyFont="1" applyFill="1" applyBorder="1"/>
    <xf numFmtId="0" fontId="93" fillId="5" borderId="7" xfId="0" applyFont="1" applyFill="1" applyBorder="1" applyAlignment="1">
      <alignment horizontal="left" vertical="center"/>
    </xf>
    <xf numFmtId="165" fontId="94" fillId="5" borderId="41" xfId="1" applyNumberFormat="1" applyFont="1" applyFill="1" applyBorder="1"/>
    <xf numFmtId="0" fontId="81" fillId="14" borderId="10" xfId="0" applyFont="1" applyFill="1" applyBorder="1" applyAlignment="1">
      <alignment horizontal="left" vertical="center"/>
    </xf>
    <xf numFmtId="9" fontId="85" fillId="2" borderId="10" xfId="1" applyFont="1" applyFill="1" applyBorder="1"/>
    <xf numFmtId="9" fontId="82" fillId="2" borderId="10" xfId="1" applyFont="1" applyFill="1" applyBorder="1"/>
    <xf numFmtId="9" fontId="82" fillId="2" borderId="11" xfId="1" applyFont="1" applyFill="1" applyBorder="1"/>
    <xf numFmtId="0" fontId="81" fillId="14" borderId="9" xfId="0" applyFont="1" applyFill="1" applyBorder="1" applyAlignment="1">
      <alignment horizontal="left" vertical="center" wrapText="1"/>
    </xf>
    <xf numFmtId="0" fontId="79" fillId="21" borderId="10" xfId="0" applyFont="1" applyFill="1" applyBorder="1" applyAlignment="1">
      <alignment horizontal="center" vertical="center"/>
    </xf>
    <xf numFmtId="3" fontId="76" fillId="21" borderId="10" xfId="1" applyNumberFormat="1" applyFont="1" applyFill="1" applyBorder="1"/>
    <xf numFmtId="3" fontId="76" fillId="21" borderId="10" xfId="0" applyNumberFormat="1" applyFont="1" applyFill="1" applyBorder="1"/>
    <xf numFmtId="3" fontId="76" fillId="2" borderId="10" xfId="1" applyNumberFormat="1" applyFont="1" applyFill="1" applyBorder="1"/>
    <xf numFmtId="0" fontId="94" fillId="2" borderId="0" xfId="0" applyFont="1" applyFill="1"/>
    <xf numFmtId="0" fontId="78" fillId="4" borderId="4" xfId="0" applyFont="1" applyFill="1" applyBorder="1" applyAlignment="1">
      <alignment horizontal="left" vertical="center"/>
    </xf>
    <xf numFmtId="0" fontId="80" fillId="3" borderId="5" xfId="0" applyFont="1" applyFill="1" applyBorder="1"/>
    <xf numFmtId="0" fontId="80" fillId="3" borderId="39" xfId="0" applyFont="1" applyFill="1" applyBorder="1"/>
    <xf numFmtId="0" fontId="80" fillId="3" borderId="6" xfId="0" applyFont="1" applyFill="1" applyBorder="1"/>
    <xf numFmtId="0" fontId="81" fillId="4" borderId="7" xfId="0" applyFont="1" applyFill="1" applyBorder="1" applyAlignment="1">
      <alignment horizontal="left" vertical="center"/>
    </xf>
    <xf numFmtId="0" fontId="81" fillId="24" borderId="46" xfId="0" applyFont="1" applyFill="1" applyBorder="1" applyAlignment="1">
      <alignment horizontal="left" vertical="center"/>
    </xf>
    <xf numFmtId="0" fontId="80" fillId="3" borderId="3" xfId="0" applyFont="1" applyFill="1" applyBorder="1"/>
    <xf numFmtId="0" fontId="80" fillId="3" borderId="44" xfId="0" applyFont="1" applyFill="1" applyBorder="1"/>
    <xf numFmtId="0" fontId="80" fillId="3" borderId="8" xfId="0" applyFont="1" applyFill="1" applyBorder="1"/>
    <xf numFmtId="0" fontId="81" fillId="6" borderId="47" xfId="0" applyFont="1" applyFill="1" applyBorder="1" applyAlignment="1">
      <alignment horizontal="left" vertical="center"/>
    </xf>
    <xf numFmtId="0" fontId="91" fillId="22" borderId="64" xfId="116" applyFont="1" applyFill="1" applyBorder="1" applyAlignment="1">
      <alignment horizontal="center" vertical="center" wrapText="1"/>
    </xf>
    <xf numFmtId="3" fontId="76" fillId="0" borderId="42" xfId="0" applyNumberFormat="1" applyFont="1" applyBorder="1"/>
    <xf numFmtId="3" fontId="76" fillId="2" borderId="42" xfId="0" applyNumberFormat="1" applyFont="1" applyFill="1" applyBorder="1"/>
    <xf numFmtId="3" fontId="76" fillId="2" borderId="65" xfId="0" applyNumberFormat="1" applyFont="1" applyFill="1" applyBorder="1"/>
    <xf numFmtId="0" fontId="81" fillId="6" borderId="9" xfId="0" applyFont="1" applyFill="1" applyBorder="1" applyAlignment="1">
      <alignment horizontal="left" vertical="center"/>
    </xf>
    <xf numFmtId="0" fontId="91" fillId="22" borderId="10" xfId="116" applyFont="1" applyFill="1" applyBorder="1" applyAlignment="1">
      <alignment horizontal="center" vertical="center" wrapText="1"/>
    </xf>
    <xf numFmtId="0" fontId="78" fillId="4" borderId="43" xfId="0" applyFont="1" applyFill="1" applyBorder="1" applyAlignment="1">
      <alignment horizontal="left" vertical="center"/>
    </xf>
    <xf numFmtId="0" fontId="81" fillId="4" borderId="46" xfId="0" applyFont="1" applyFill="1" applyBorder="1" applyAlignment="1">
      <alignment horizontal="left" vertical="center"/>
    </xf>
    <xf numFmtId="0" fontId="80" fillId="3" borderId="41" xfId="0" applyFont="1" applyFill="1" applyBorder="1"/>
    <xf numFmtId="0" fontId="81" fillId="6" borderId="7" xfId="0" applyFont="1" applyFill="1" applyBorder="1" applyAlignment="1">
      <alignment horizontal="left" vertical="center" wrapText="1"/>
    </xf>
    <xf numFmtId="0" fontId="91" fillId="22" borderId="46" xfId="116" applyFont="1" applyFill="1" applyBorder="1" applyAlignment="1">
      <alignment horizontal="center" vertical="center" wrapText="1"/>
    </xf>
    <xf numFmtId="3" fontId="76" fillId="21" borderId="3" xfId="0" applyNumberFormat="1" applyFont="1" applyFill="1" applyBorder="1"/>
    <xf numFmtId="0" fontId="83" fillId="6" borderId="7" xfId="0" applyFont="1" applyFill="1" applyBorder="1" applyAlignment="1">
      <alignment horizontal="left" vertical="center" wrapText="1"/>
    </xf>
    <xf numFmtId="3" fontId="76" fillId="0" borderId="54" xfId="0" applyNumberFormat="1" applyFont="1" applyBorder="1"/>
    <xf numFmtId="0" fontId="83" fillId="6" borderId="47" xfId="0" applyFont="1" applyFill="1" applyBorder="1" applyAlignment="1">
      <alignment horizontal="left" vertical="center" wrapText="1"/>
    </xf>
    <xf numFmtId="3" fontId="76" fillId="21" borderId="42" xfId="0" applyNumberFormat="1" applyFont="1" applyFill="1" applyBorder="1"/>
    <xf numFmtId="0" fontId="80" fillId="5" borderId="7" xfId="0" applyFont="1" applyFill="1" applyBorder="1" applyAlignment="1">
      <alignment horizontal="left" vertical="center"/>
    </xf>
    <xf numFmtId="0" fontId="79" fillId="71" borderId="46" xfId="116" applyFont="1" applyFill="1" applyBorder="1" applyAlignment="1">
      <alignment horizontal="center" vertical="center" wrapText="1"/>
    </xf>
    <xf numFmtId="9" fontId="82" fillId="5" borderId="8" xfId="1" applyFont="1" applyFill="1" applyBorder="1" applyAlignment="1">
      <alignment horizontal="right" vertical="center"/>
    </xf>
    <xf numFmtId="0" fontId="80" fillId="5" borderId="9" xfId="0" applyFont="1" applyFill="1" applyBorder="1" applyAlignment="1">
      <alignment horizontal="left" vertical="center"/>
    </xf>
    <xf numFmtId="9" fontId="82" fillId="5" borderId="10" xfId="1" applyFont="1" applyFill="1" applyBorder="1" applyAlignment="1">
      <alignment horizontal="right" vertical="center"/>
    </xf>
    <xf numFmtId="9" fontId="76" fillId="2" borderId="0" xfId="1" applyFont="1" applyFill="1"/>
    <xf numFmtId="0" fontId="78" fillId="4" borderId="5" xfId="0" applyFont="1" applyFill="1" applyBorder="1" applyAlignment="1">
      <alignment horizontal="left" vertical="center"/>
    </xf>
    <xf numFmtId="0" fontId="81" fillId="4" borderId="41" xfId="0" applyFont="1" applyFill="1" applyBorder="1" applyAlignment="1">
      <alignment horizontal="left" vertical="center"/>
    </xf>
    <xf numFmtId="3" fontId="81" fillId="6" borderId="7" xfId="0" applyNumberFormat="1" applyFont="1" applyFill="1" applyBorder="1" applyAlignment="1">
      <alignment horizontal="left" vertical="center" wrapText="1"/>
    </xf>
    <xf numFmtId="3" fontId="79" fillId="22" borderId="41" xfId="0" applyNumberFormat="1" applyFont="1" applyFill="1" applyBorder="1" applyAlignment="1">
      <alignment horizontal="center" vertical="center" wrapText="1"/>
    </xf>
    <xf numFmtId="3" fontId="79" fillId="2" borderId="41" xfId="0" applyNumberFormat="1" applyFont="1" applyFill="1" applyBorder="1" applyAlignment="1">
      <alignment horizontal="center"/>
    </xf>
    <xf numFmtId="3" fontId="76" fillId="0" borderId="3" xfId="0" applyNumberFormat="1" applyFont="1" applyBorder="1"/>
    <xf numFmtId="3" fontId="82" fillId="21" borderId="41" xfId="0" applyNumberFormat="1" applyFont="1" applyFill="1" applyBorder="1" applyAlignment="1">
      <alignment horizontal="right"/>
    </xf>
    <xf numFmtId="0" fontId="80" fillId="72" borderId="41" xfId="116" applyFont="1" applyFill="1" applyBorder="1" applyAlignment="1">
      <alignment horizontal="center" wrapText="1"/>
    </xf>
    <xf numFmtId="3" fontId="76" fillId="0" borderId="41" xfId="0" applyNumberFormat="1" applyFont="1" applyBorder="1" applyAlignment="1">
      <alignment horizontal="right"/>
    </xf>
    <xf numFmtId="3" fontId="76" fillId="21" borderId="41" xfId="0" applyNumberFormat="1" applyFont="1" applyFill="1" applyBorder="1" applyAlignment="1">
      <alignment horizontal="right"/>
    </xf>
    <xf numFmtId="3" fontId="79" fillId="5" borderId="41" xfId="0" applyNumberFormat="1" applyFont="1" applyFill="1" applyBorder="1" applyAlignment="1">
      <alignment horizontal="center"/>
    </xf>
    <xf numFmtId="9" fontId="82" fillId="5" borderId="41" xfId="1" applyFont="1" applyFill="1" applyBorder="1" applyAlignment="1">
      <alignment horizontal="right"/>
    </xf>
    <xf numFmtId="9" fontId="82" fillId="5" borderId="8" xfId="1" applyFont="1" applyFill="1" applyBorder="1" applyAlignment="1">
      <alignment horizontal="right"/>
    </xf>
    <xf numFmtId="3" fontId="82" fillId="0" borderId="41" xfId="0" applyNumberFormat="1" applyFont="1" applyBorder="1" applyAlignment="1">
      <alignment horizontal="right"/>
    </xf>
    <xf numFmtId="166" fontId="76" fillId="5" borderId="41" xfId="0" applyNumberFormat="1" applyFont="1" applyFill="1" applyBorder="1" applyAlignment="1">
      <alignment horizontal="right"/>
    </xf>
    <xf numFmtId="166" fontId="76" fillId="5" borderId="8" xfId="0" applyNumberFormat="1" applyFont="1" applyFill="1" applyBorder="1" applyAlignment="1">
      <alignment horizontal="right"/>
    </xf>
    <xf numFmtId="166" fontId="76" fillId="5" borderId="10" xfId="0" applyNumberFormat="1" applyFont="1" applyFill="1" applyBorder="1" applyAlignment="1">
      <alignment horizontal="right"/>
    </xf>
    <xf numFmtId="166" fontId="76" fillId="5" borderId="11" xfId="0" applyNumberFormat="1" applyFont="1" applyFill="1" applyBorder="1" applyAlignment="1">
      <alignment horizontal="right"/>
    </xf>
    <xf numFmtId="11" fontId="79" fillId="72" borderId="41" xfId="116" applyNumberFormat="1" applyFont="1" applyFill="1" applyBorder="1" applyAlignment="1">
      <alignment horizontal="center" wrapText="1"/>
    </xf>
    <xf numFmtId="3" fontId="79" fillId="21" borderId="41" xfId="0" applyNumberFormat="1" applyFont="1" applyFill="1" applyBorder="1" applyAlignment="1">
      <alignment horizontal="center"/>
    </xf>
    <xf numFmtId="10" fontId="76" fillId="0" borderId="41" xfId="3" applyNumberFormat="1" applyFont="1" applyFill="1" applyBorder="1" applyAlignment="1">
      <alignment horizontal="right"/>
    </xf>
    <xf numFmtId="10" fontId="76" fillId="2" borderId="41" xfId="3" applyNumberFormat="1" applyFont="1" applyFill="1" applyBorder="1" applyAlignment="1">
      <alignment horizontal="right"/>
    </xf>
    <xf numFmtId="10" fontId="76" fillId="17" borderId="8" xfId="3" applyNumberFormat="1" applyFont="1" applyFill="1" applyBorder="1" applyAlignment="1">
      <alignment horizontal="right"/>
    </xf>
    <xf numFmtId="11" fontId="79" fillId="22" borderId="41" xfId="116" applyNumberFormat="1" applyFont="1" applyFill="1" applyBorder="1" applyAlignment="1">
      <alignment horizontal="center" wrapText="1"/>
    </xf>
    <xf numFmtId="1" fontId="76" fillId="2" borderId="41" xfId="3" applyNumberFormat="1" applyFont="1" applyFill="1" applyBorder="1" applyAlignment="1">
      <alignment horizontal="right"/>
    </xf>
    <xf numFmtId="1" fontId="76" fillId="0" borderId="41" xfId="3" applyNumberFormat="1" applyFont="1" applyFill="1" applyBorder="1" applyAlignment="1">
      <alignment horizontal="right"/>
    </xf>
    <xf numFmtId="1" fontId="76" fillId="17" borderId="8" xfId="3" applyNumberFormat="1" applyFont="1" applyFill="1" applyBorder="1" applyAlignment="1">
      <alignment horizontal="right"/>
    </xf>
    <xf numFmtId="0" fontId="81" fillId="6" borderId="9" xfId="0" applyFont="1" applyFill="1" applyBorder="1" applyAlignment="1">
      <alignment horizontal="left" vertical="center" wrapText="1"/>
    </xf>
    <xf numFmtId="3" fontId="79" fillId="22" borderId="10" xfId="0" applyNumberFormat="1" applyFont="1" applyFill="1" applyBorder="1" applyAlignment="1">
      <alignment horizontal="center" vertical="center" wrapText="1"/>
    </xf>
    <xf numFmtId="3" fontId="84" fillId="21" borderId="10" xfId="0" applyNumberFormat="1" applyFont="1" applyFill="1" applyBorder="1"/>
    <xf numFmtId="3" fontId="76" fillId="0" borderId="10" xfId="0" applyNumberFormat="1" applyFont="1" applyBorder="1"/>
    <xf numFmtId="1" fontId="76" fillId="0" borderId="10" xfId="0" applyNumberFormat="1" applyFont="1" applyBorder="1"/>
    <xf numFmtId="1" fontId="76" fillId="17" borderId="11" xfId="0" applyNumberFormat="1" applyFont="1" applyFill="1" applyBorder="1"/>
    <xf numFmtId="0" fontId="81" fillId="4" borderId="3" xfId="0" applyFont="1" applyFill="1" applyBorder="1" applyAlignment="1">
      <alignment horizontal="left" vertical="center"/>
    </xf>
    <xf numFmtId="11" fontId="80" fillId="72" borderId="42" xfId="116" applyNumberFormat="1" applyFont="1" applyFill="1" applyBorder="1" applyAlignment="1">
      <alignment horizontal="center" vertical="center" wrapText="1"/>
    </xf>
    <xf numFmtId="3" fontId="79" fillId="2" borderId="42" xfId="0" applyNumberFormat="1" applyFont="1" applyFill="1" applyBorder="1" applyAlignment="1">
      <alignment horizontal="center"/>
    </xf>
    <xf numFmtId="3" fontId="82" fillId="21" borderId="42" xfId="0" applyNumberFormat="1" applyFont="1" applyFill="1" applyBorder="1" applyAlignment="1">
      <alignment horizontal="right"/>
    </xf>
    <xf numFmtId="3" fontId="76" fillId="21" borderId="42" xfId="0" applyNumberFormat="1" applyFont="1" applyFill="1" applyBorder="1" applyAlignment="1">
      <alignment horizontal="right"/>
    </xf>
    <xf numFmtId="1" fontId="76" fillId="21" borderId="42" xfId="3" applyNumberFormat="1" applyFont="1" applyFill="1" applyBorder="1" applyAlignment="1">
      <alignment horizontal="right"/>
    </xf>
    <xf numFmtId="1" fontId="76" fillId="0" borderId="42" xfId="3" applyNumberFormat="1" applyFont="1" applyFill="1" applyBorder="1" applyAlignment="1">
      <alignment horizontal="right"/>
    </xf>
    <xf numFmtId="1" fontId="76" fillId="2" borderId="42" xfId="3" applyNumberFormat="1" applyFont="1" applyFill="1" applyBorder="1" applyAlignment="1">
      <alignment horizontal="right"/>
    </xf>
    <xf numFmtId="1" fontId="76" fillId="73" borderId="42" xfId="3" applyNumberFormat="1" applyFont="1" applyFill="1" applyBorder="1" applyAlignment="1">
      <alignment horizontal="right"/>
    </xf>
    <xf numFmtId="3" fontId="76" fillId="0" borderId="42" xfId="3" applyNumberFormat="1" applyFont="1" applyFill="1" applyBorder="1" applyAlignment="1">
      <alignment horizontal="right"/>
    </xf>
    <xf numFmtId="0" fontId="81" fillId="6" borderId="66" xfId="0" applyFont="1" applyFill="1" applyBorder="1" applyAlignment="1">
      <alignment horizontal="left" vertical="center" wrapText="1"/>
    </xf>
    <xf numFmtId="3" fontId="79" fillId="2" borderId="10" xfId="0" applyNumberFormat="1" applyFont="1" applyFill="1" applyBorder="1" applyAlignment="1">
      <alignment horizontal="center"/>
    </xf>
    <xf numFmtId="0" fontId="76" fillId="21" borderId="10" xfId="0" applyFont="1" applyFill="1" applyBorder="1"/>
    <xf numFmtId="0" fontId="76" fillId="2" borderId="10" xfId="0" applyFont="1" applyFill="1" applyBorder="1"/>
    <xf numFmtId="3" fontId="82" fillId="21" borderId="10" xfId="0" applyNumberFormat="1" applyFont="1" applyFill="1" applyBorder="1" applyAlignment="1">
      <alignment horizontal="right"/>
    </xf>
    <xf numFmtId="3" fontId="76" fillId="21" borderId="10" xfId="0" applyNumberFormat="1" applyFont="1" applyFill="1" applyBorder="1" applyAlignment="1">
      <alignment horizontal="right"/>
    </xf>
    <xf numFmtId="0" fontId="81" fillId="15" borderId="77" xfId="0" applyFont="1" applyFill="1" applyBorder="1" applyAlignment="1">
      <alignment horizontal="left" vertical="center"/>
    </xf>
    <xf numFmtId="9" fontId="82" fillId="0" borderId="41" xfId="1" applyFont="1" applyFill="1" applyBorder="1" applyAlignment="1">
      <alignment horizontal="right" vertical="center"/>
    </xf>
    <xf numFmtId="9" fontId="82" fillId="0" borderId="10" xfId="1" applyFont="1" applyFill="1" applyBorder="1" applyAlignment="1">
      <alignment horizontal="right" vertical="center"/>
    </xf>
    <xf numFmtId="0" fontId="80" fillId="7" borderId="54" xfId="0" applyFont="1" applyFill="1" applyBorder="1" applyAlignment="1">
      <alignment horizontal="center" vertical="center"/>
    </xf>
    <xf numFmtId="3" fontId="76" fillId="21" borderId="54" xfId="0" applyNumberFormat="1" applyFont="1" applyFill="1" applyBorder="1"/>
    <xf numFmtId="3" fontId="76" fillId="5" borderId="54" xfId="0" applyNumberFormat="1" applyFont="1" applyFill="1" applyBorder="1"/>
    <xf numFmtId="9" fontId="82" fillId="5" borderId="54" xfId="1" applyFont="1" applyFill="1" applyBorder="1" applyAlignment="1">
      <alignment horizontal="right"/>
    </xf>
    <xf numFmtId="166" fontId="76" fillId="5" borderId="54" xfId="0" applyNumberFormat="1" applyFont="1" applyFill="1" applyBorder="1" applyAlignment="1">
      <alignment horizontal="right"/>
    </xf>
    <xf numFmtId="166" fontId="76" fillId="5" borderId="80" xfId="0" applyNumberFormat="1" applyFont="1" applyFill="1" applyBorder="1" applyAlignment="1">
      <alignment horizontal="right"/>
    </xf>
    <xf numFmtId="10" fontId="76" fillId="0" borderId="54" xfId="3" applyNumberFormat="1" applyFont="1" applyFill="1" applyBorder="1" applyAlignment="1">
      <alignment horizontal="right"/>
    </xf>
    <xf numFmtId="1" fontId="76" fillId="0" borderId="54" xfId="3" applyNumberFormat="1" applyFont="1" applyFill="1" applyBorder="1" applyAlignment="1">
      <alignment horizontal="right"/>
    </xf>
    <xf numFmtId="1" fontId="76" fillId="0" borderId="80" xfId="0" applyNumberFormat="1" applyFont="1" applyBorder="1"/>
    <xf numFmtId="3" fontId="76" fillId="0" borderId="81" xfId="3" applyNumberFormat="1" applyFont="1" applyFill="1" applyBorder="1" applyAlignment="1">
      <alignment horizontal="right"/>
    </xf>
    <xf numFmtId="0" fontId="76" fillId="2" borderId="80" xfId="0" applyFont="1" applyFill="1" applyBorder="1"/>
    <xf numFmtId="0" fontId="80" fillId="11" borderId="53" xfId="0" applyFont="1" applyFill="1" applyBorder="1"/>
    <xf numFmtId="0" fontId="80" fillId="11" borderId="54" xfId="0" applyFont="1" applyFill="1" applyBorder="1"/>
    <xf numFmtId="3" fontId="82" fillId="0" borderId="54" xfId="0" applyNumberFormat="1" applyFont="1" applyBorder="1"/>
    <xf numFmtId="3" fontId="82" fillId="2" borderId="54" xfId="0" applyNumberFormat="1" applyFont="1" applyFill="1" applyBorder="1"/>
    <xf numFmtId="3" fontId="76" fillId="2" borderId="54" xfId="0" applyNumberFormat="1" applyFont="1" applyFill="1" applyBorder="1"/>
    <xf numFmtId="165" fontId="76" fillId="5" borderId="54" xfId="1" applyNumberFormat="1" applyFont="1" applyFill="1" applyBorder="1"/>
    <xf numFmtId="165" fontId="76" fillId="5" borderId="80" xfId="1" applyNumberFormat="1" applyFont="1" applyFill="1" applyBorder="1"/>
    <xf numFmtId="4" fontId="76" fillId="5" borderId="54" xfId="0" applyNumberFormat="1" applyFont="1" applyFill="1" applyBorder="1"/>
    <xf numFmtId="3" fontId="80" fillId="5" borderId="54" xfId="1" applyNumberFormat="1" applyFont="1" applyFill="1" applyBorder="1" applyAlignment="1">
      <alignment vertical="center"/>
    </xf>
    <xf numFmtId="3" fontId="76" fillId="0" borderId="54" xfId="0" applyNumberFormat="1" applyFont="1" applyBorder="1" applyAlignment="1">
      <alignment vertical="center"/>
    </xf>
    <xf numFmtId="3" fontId="76" fillId="5" borderId="54" xfId="0" applyNumberFormat="1" applyFont="1" applyFill="1" applyBorder="1" applyAlignment="1">
      <alignment vertical="center"/>
    </xf>
    <xf numFmtId="3" fontId="82" fillId="0" borderId="54" xfId="0" applyNumberFormat="1" applyFont="1" applyBorder="1" applyAlignment="1">
      <alignment vertical="center"/>
    </xf>
    <xf numFmtId="3" fontId="76" fillId="21" borderId="54" xfId="0" applyNumberFormat="1" applyFont="1" applyFill="1" applyBorder="1" applyAlignment="1">
      <alignment vertical="center"/>
    </xf>
    <xf numFmtId="9" fontId="76" fillId="5" borderId="54" xfId="1" applyFont="1" applyFill="1" applyBorder="1" applyAlignment="1">
      <alignment vertical="center"/>
    </xf>
    <xf numFmtId="3" fontId="80" fillId="5" borderId="54" xfId="0" applyNumberFormat="1" applyFont="1" applyFill="1" applyBorder="1" applyAlignment="1">
      <alignment vertical="center"/>
    </xf>
    <xf numFmtId="3" fontId="80" fillId="5" borderId="80" xfId="0" applyNumberFormat="1" applyFont="1" applyFill="1" applyBorder="1" applyAlignment="1">
      <alignment vertical="center"/>
    </xf>
    <xf numFmtId="9" fontId="82" fillId="2" borderId="80" xfId="1" applyFont="1" applyFill="1" applyBorder="1"/>
    <xf numFmtId="0" fontId="80" fillId="8" borderId="53" xfId="0" applyFont="1" applyFill="1" applyBorder="1"/>
    <xf numFmtId="0" fontId="80" fillId="8" borderId="54" xfId="0" applyFont="1" applyFill="1" applyBorder="1"/>
    <xf numFmtId="166" fontId="76" fillId="0" borderId="54" xfId="0" applyNumberFormat="1" applyFont="1" applyBorder="1" applyAlignment="1">
      <alignment vertical="center"/>
    </xf>
    <xf numFmtId="167" fontId="76" fillId="0" borderId="54" xfId="0" applyNumberFormat="1" applyFont="1" applyBorder="1"/>
    <xf numFmtId="167" fontId="76" fillId="21" borderId="54" xfId="0" applyNumberFormat="1" applyFont="1" applyFill="1" applyBorder="1"/>
    <xf numFmtId="167" fontId="80" fillId="5" borderId="54" xfId="0" applyNumberFormat="1" applyFont="1" applyFill="1" applyBorder="1"/>
    <xf numFmtId="167" fontId="76" fillId="2" borderId="54" xfId="0" applyNumberFormat="1" applyFont="1" applyFill="1" applyBorder="1"/>
    <xf numFmtId="2" fontId="76" fillId="5" borderId="54" xfId="1" applyNumberFormat="1" applyFont="1" applyFill="1" applyBorder="1"/>
    <xf numFmtId="2" fontId="82" fillId="5" borderId="80" xfId="1" applyNumberFormat="1" applyFont="1" applyFill="1" applyBorder="1" applyAlignment="1">
      <alignment horizontal="right"/>
    </xf>
    <xf numFmtId="9" fontId="76" fillId="11" borderId="54" xfId="1" applyFont="1" applyFill="1" applyBorder="1"/>
    <xf numFmtId="9" fontId="82" fillId="11" borderId="80" xfId="1" applyFont="1" applyFill="1" applyBorder="1" applyAlignment="1">
      <alignment horizontal="right"/>
    </xf>
    <xf numFmtId="167" fontId="76" fillId="5" borderId="76" xfId="0" applyNumberFormat="1" applyFont="1" applyFill="1" applyBorder="1"/>
    <xf numFmtId="166" fontId="76" fillId="5" borderId="54" xfId="0" applyNumberFormat="1" applyFont="1" applyFill="1" applyBorder="1" applyAlignment="1">
      <alignment vertical="center"/>
    </xf>
    <xf numFmtId="0" fontId="80" fillId="18" borderId="53" xfId="0" applyFont="1" applyFill="1" applyBorder="1"/>
    <xf numFmtId="0" fontId="80" fillId="18" borderId="54" xfId="0" applyFont="1" applyFill="1" applyBorder="1"/>
    <xf numFmtId="1" fontId="82" fillId="0" borderId="54" xfId="0" applyNumberFormat="1" applyFont="1" applyBorder="1" applyAlignment="1">
      <alignment horizontal="right" vertical="center"/>
    </xf>
    <xf numFmtId="1" fontId="82" fillId="5" borderId="54" xfId="0" applyNumberFormat="1" applyFont="1" applyFill="1" applyBorder="1" applyAlignment="1">
      <alignment horizontal="right" vertical="center"/>
    </xf>
    <xf numFmtId="9" fontId="76" fillId="5" borderId="80" xfId="1" applyFont="1" applyFill="1" applyBorder="1"/>
    <xf numFmtId="166" fontId="82" fillId="5" borderId="54" xfId="0" applyNumberFormat="1" applyFont="1" applyFill="1" applyBorder="1" applyAlignment="1">
      <alignment horizontal="right" vertical="center"/>
    </xf>
    <xf numFmtId="166" fontId="82" fillId="5" borderId="82" xfId="0" applyNumberFormat="1" applyFont="1" applyFill="1" applyBorder="1" applyAlignment="1">
      <alignment horizontal="right" vertical="center"/>
    </xf>
    <xf numFmtId="3" fontId="76" fillId="21" borderId="79" xfId="0" applyNumberFormat="1" applyFont="1" applyFill="1" applyBorder="1"/>
    <xf numFmtId="0" fontId="76" fillId="2" borderId="0" xfId="0" quotePrefix="1" applyFont="1" applyFill="1"/>
    <xf numFmtId="168" fontId="76" fillId="17" borderId="8" xfId="0" applyNumberFormat="1" applyFont="1" applyFill="1" applyBorder="1"/>
    <xf numFmtId="168" fontId="76" fillId="5" borderId="8" xfId="0" applyNumberFormat="1" applyFont="1" applyFill="1" applyBorder="1"/>
    <xf numFmtId="168" fontId="76" fillId="21" borderId="3" xfId="0" applyNumberFormat="1" applyFont="1" applyFill="1" applyBorder="1"/>
    <xf numFmtId="168" fontId="76" fillId="0" borderId="54" xfId="0" applyNumberFormat="1" applyFont="1" applyBorder="1"/>
    <xf numFmtId="168" fontId="76" fillId="5" borderId="54" xfId="0" applyNumberFormat="1" applyFont="1" applyFill="1" applyBorder="1"/>
    <xf numFmtId="0" fontId="83" fillId="6" borderId="7" xfId="0" applyFont="1" applyFill="1" applyBorder="1" applyAlignment="1">
      <alignment horizontal="left" vertical="center"/>
    </xf>
    <xf numFmtId="3" fontId="82" fillId="21" borderId="74" xfId="0" applyNumberFormat="1" applyFont="1" applyFill="1" applyBorder="1" applyAlignment="1">
      <alignment horizontal="right"/>
    </xf>
    <xf numFmtId="3" fontId="82" fillId="0" borderId="74" xfId="0" applyNumberFormat="1" applyFont="1" applyBorder="1" applyAlignment="1">
      <alignment horizontal="right"/>
    </xf>
    <xf numFmtId="3" fontId="76" fillId="0" borderId="74" xfId="0" applyNumberFormat="1" applyFont="1" applyBorder="1"/>
    <xf numFmtId="167" fontId="76" fillId="0" borderId="92" xfId="0" applyNumberFormat="1" applyFont="1" applyBorder="1"/>
    <xf numFmtId="0" fontId="80" fillId="7" borderId="57" xfId="0" applyFont="1" applyFill="1" applyBorder="1" applyAlignment="1">
      <alignment vertical="center"/>
    </xf>
    <xf numFmtId="0" fontId="80" fillId="8" borderId="92" xfId="0" applyFont="1" applyFill="1" applyBorder="1"/>
    <xf numFmtId="167" fontId="76" fillId="21" borderId="92" xfId="0" applyNumberFormat="1" applyFont="1" applyFill="1" applyBorder="1"/>
    <xf numFmtId="1" fontId="76" fillId="21" borderId="92" xfId="0" applyNumberFormat="1" applyFont="1" applyFill="1" applyBorder="1"/>
    <xf numFmtId="165" fontId="76" fillId="21" borderId="92" xfId="1" applyNumberFormat="1" applyFont="1" applyFill="1" applyBorder="1"/>
    <xf numFmtId="167" fontId="76" fillId="5" borderId="92" xfId="0" applyNumberFormat="1" applyFont="1" applyFill="1" applyBorder="1"/>
    <xf numFmtId="167" fontId="82" fillId="5" borderId="92" xfId="0" applyNumberFormat="1" applyFont="1" applyFill="1" applyBorder="1" applyAlignment="1">
      <alignment horizontal="right"/>
    </xf>
    <xf numFmtId="182" fontId="76" fillId="2" borderId="0" xfId="0" applyNumberFormat="1" applyFont="1" applyFill="1"/>
    <xf numFmtId="9" fontId="82" fillId="5" borderId="80" xfId="1" applyFont="1" applyFill="1" applyBorder="1" applyAlignment="1">
      <alignment horizontal="right" vertical="center"/>
    </xf>
    <xf numFmtId="9" fontId="82" fillId="5" borderId="11" xfId="1" applyFont="1" applyFill="1" applyBorder="1" applyAlignment="1">
      <alignment horizontal="right" vertical="center"/>
    </xf>
    <xf numFmtId="165" fontId="82" fillId="21" borderId="41" xfId="0" applyNumberFormat="1" applyFont="1" applyFill="1" applyBorder="1" applyAlignment="1">
      <alignment horizontal="right"/>
    </xf>
    <xf numFmtId="165" fontId="76" fillId="21" borderId="41" xfId="0" applyNumberFormat="1" applyFont="1" applyFill="1" applyBorder="1" applyAlignment="1">
      <alignment horizontal="right"/>
    </xf>
    <xf numFmtId="165" fontId="76" fillId="0" borderId="41" xfId="3" applyNumberFormat="1" applyFont="1" applyFill="1" applyBorder="1" applyAlignment="1">
      <alignment horizontal="right"/>
    </xf>
    <xf numFmtId="165" fontId="76" fillId="2" borderId="41" xfId="3" applyNumberFormat="1" applyFont="1" applyFill="1" applyBorder="1" applyAlignment="1">
      <alignment horizontal="right"/>
    </xf>
    <xf numFmtId="165" fontId="76" fillId="0" borderId="54" xfId="3" applyNumberFormat="1" applyFont="1" applyFill="1" applyBorder="1" applyAlignment="1">
      <alignment horizontal="right"/>
    </xf>
    <xf numFmtId="165" fontId="76" fillId="17" borderId="8" xfId="3" applyNumberFormat="1" applyFont="1" applyFill="1" applyBorder="1" applyAlignment="1">
      <alignment horizontal="right"/>
    </xf>
    <xf numFmtId="165" fontId="82" fillId="73" borderId="41" xfId="0" applyNumberFormat="1" applyFont="1" applyFill="1" applyBorder="1" applyAlignment="1">
      <alignment horizontal="right"/>
    </xf>
    <xf numFmtId="0" fontId="76" fillId="2" borderId="0" xfId="1" applyNumberFormat="1" applyFont="1" applyFill="1"/>
    <xf numFmtId="186" fontId="76" fillId="2" borderId="0" xfId="0" applyNumberFormat="1" applyFont="1" applyFill="1"/>
    <xf numFmtId="9" fontId="82" fillId="5" borderId="54" xfId="1" applyFont="1" applyFill="1" applyBorder="1" applyAlignment="1">
      <alignment horizontal="right" vertical="center"/>
    </xf>
    <xf numFmtId="165" fontId="79" fillId="5" borderId="8" xfId="1" applyNumberFormat="1" applyFont="1" applyFill="1" applyBorder="1"/>
    <xf numFmtId="165" fontId="82" fillId="5" borderId="8" xfId="1" applyNumberFormat="1" applyFont="1" applyFill="1" applyBorder="1"/>
    <xf numFmtId="165" fontId="94" fillId="5" borderId="8" xfId="1" applyNumberFormat="1" applyFont="1" applyFill="1" applyBorder="1"/>
    <xf numFmtId="165" fontId="76" fillId="0" borderId="41" xfId="1" applyNumberFormat="1" applyFont="1" applyFill="1" applyBorder="1" applyAlignment="1"/>
    <xf numFmtId="167" fontId="80" fillId="5" borderId="92" xfId="0" applyNumberFormat="1" applyFont="1" applyFill="1" applyBorder="1"/>
    <xf numFmtId="0" fontId="80" fillId="7" borderId="92" xfId="0" applyFont="1" applyFill="1" applyBorder="1" applyAlignment="1">
      <alignment horizontal="center" vertical="center"/>
    </xf>
    <xf numFmtId="167" fontId="76" fillId="2" borderId="92" xfId="0" applyNumberFormat="1" applyFont="1" applyFill="1" applyBorder="1"/>
    <xf numFmtId="183" fontId="82" fillId="0" borderId="41" xfId="291" applyNumberFormat="1" applyFont="1" applyFill="1" applyBorder="1" applyAlignment="1">
      <alignment horizontal="right" vertical="center"/>
    </xf>
    <xf numFmtId="166" fontId="82" fillId="0" borderId="80" xfId="0" applyNumberFormat="1" applyFont="1" applyBorder="1" applyAlignment="1">
      <alignment horizontal="right" vertical="center"/>
    </xf>
    <xf numFmtId="3" fontId="82" fillId="0" borderId="80" xfId="0" applyNumberFormat="1" applyFont="1" applyBorder="1" applyAlignment="1">
      <alignment horizontal="right" vertical="center"/>
    </xf>
    <xf numFmtId="1" fontId="82" fillId="0" borderId="80" xfId="0" applyNumberFormat="1" applyFont="1" applyBorder="1" applyAlignment="1">
      <alignment horizontal="right" vertical="center"/>
    </xf>
    <xf numFmtId="10" fontId="82" fillId="0" borderId="54" xfId="3" applyNumberFormat="1" applyFont="1" applyFill="1" applyBorder="1" applyAlignment="1">
      <alignment horizontal="right"/>
    </xf>
    <xf numFmtId="165" fontId="82" fillId="0" borderId="54" xfId="3" applyNumberFormat="1" applyFont="1" applyFill="1" applyBorder="1" applyAlignment="1">
      <alignment horizontal="right"/>
    </xf>
    <xf numFmtId="1" fontId="82" fillId="0" borderId="54" xfId="3" applyNumberFormat="1" applyFont="1" applyFill="1" applyBorder="1" applyAlignment="1">
      <alignment horizontal="right"/>
    </xf>
    <xf numFmtId="1" fontId="82" fillId="0" borderId="80" xfId="0" applyNumberFormat="1" applyFont="1" applyBorder="1"/>
    <xf numFmtId="0" fontId="76" fillId="0" borderId="80" xfId="0" applyFont="1" applyBorder="1"/>
    <xf numFmtId="0" fontId="80" fillId="5" borderId="93" xfId="0" applyFont="1" applyFill="1" applyBorder="1" applyAlignment="1">
      <alignment horizontal="left" vertical="center"/>
    </xf>
    <xf numFmtId="0" fontId="79" fillId="71" borderId="79" xfId="116" applyFont="1" applyFill="1" applyBorder="1" applyAlignment="1">
      <alignment horizontal="center" vertical="center" wrapText="1"/>
    </xf>
    <xf numFmtId="0" fontId="79" fillId="5" borderId="79" xfId="0" applyFont="1" applyFill="1" applyBorder="1" applyAlignment="1">
      <alignment horizontal="center" vertical="center"/>
    </xf>
    <xf numFmtId="167" fontId="82" fillId="0" borderId="92" xfId="0" applyNumberFormat="1" applyFont="1" applyBorder="1"/>
    <xf numFmtId="167" fontId="82" fillId="0" borderId="8" xfId="0" applyNumberFormat="1" applyFont="1" applyBorder="1"/>
    <xf numFmtId="187" fontId="76" fillId="2" borderId="0" xfId="0" applyNumberFormat="1" applyFont="1" applyFill="1"/>
    <xf numFmtId="1" fontId="76" fillId="2" borderId="10" xfId="0" applyNumberFormat="1" applyFont="1" applyFill="1" applyBorder="1"/>
    <xf numFmtId="3" fontId="76" fillId="0" borderId="48" xfId="3" applyNumberFormat="1" applyFont="1" applyFill="1" applyBorder="1" applyAlignment="1">
      <alignment horizontal="right"/>
    </xf>
    <xf numFmtId="1" fontId="82" fillId="2" borderId="41" xfId="0" applyNumberFormat="1" applyFont="1" applyFill="1" applyBorder="1" applyAlignment="1">
      <alignment horizontal="right" vertical="center"/>
    </xf>
    <xf numFmtId="166" fontId="76" fillId="0" borderId="54" xfId="0" applyNumberFormat="1" applyFont="1" applyBorder="1"/>
    <xf numFmtId="0" fontId="76" fillId="0" borderId="11" xfId="0" applyFont="1" applyBorder="1"/>
    <xf numFmtId="3" fontId="76" fillId="0" borderId="11" xfId="3" applyNumberFormat="1" applyFont="1" applyFill="1" applyBorder="1" applyAlignment="1">
      <alignment horizontal="right"/>
    </xf>
    <xf numFmtId="3" fontId="76" fillId="0" borderId="48" xfId="0" applyNumberFormat="1" applyFont="1" applyBorder="1"/>
    <xf numFmtId="3" fontId="76" fillId="0" borderId="11" xfId="0" applyNumberFormat="1" applyFont="1" applyBorder="1"/>
    <xf numFmtId="3" fontId="76" fillId="0" borderId="54" xfId="1" applyNumberFormat="1" applyFont="1" applyFill="1" applyBorder="1"/>
    <xf numFmtId="3" fontId="76" fillId="0" borderId="8" xfId="0" applyNumberFormat="1" applyFont="1" applyBorder="1" applyAlignment="1">
      <alignment vertical="center"/>
    </xf>
    <xf numFmtId="166" fontId="76" fillId="17" borderId="8" xfId="0" applyNumberFormat="1" applyFont="1" applyFill="1" applyBorder="1" applyAlignment="1">
      <alignment vertical="center"/>
    </xf>
    <xf numFmtId="3" fontId="76" fillId="73" borderId="80" xfId="1" applyNumberFormat="1" applyFont="1" applyFill="1" applyBorder="1" applyAlignment="1">
      <alignment horizontal="center"/>
    </xf>
    <xf numFmtId="3" fontId="76" fillId="73" borderId="11" xfId="0" applyNumberFormat="1" applyFont="1" applyFill="1" applyBorder="1" applyAlignment="1">
      <alignment horizontal="center" vertical="center"/>
    </xf>
    <xf numFmtId="167" fontId="76" fillId="0" borderId="80" xfId="0" applyNumberFormat="1" applyFont="1" applyBorder="1"/>
    <xf numFmtId="167" fontId="82" fillId="17" borderId="11" xfId="0" applyNumberFormat="1" applyFont="1" applyFill="1" applyBorder="1"/>
    <xf numFmtId="9" fontId="76" fillId="105" borderId="3" xfId="1" applyFont="1" applyFill="1" applyBorder="1"/>
    <xf numFmtId="9" fontId="76" fillId="105" borderId="8" xfId="1" applyFont="1" applyFill="1" applyBorder="1"/>
    <xf numFmtId="9" fontId="82" fillId="105" borderId="11" xfId="1" applyFont="1" applyFill="1" applyBorder="1" applyAlignment="1">
      <alignment horizontal="right"/>
    </xf>
    <xf numFmtId="9" fontId="76" fillId="105" borderId="41" xfId="1" applyFont="1" applyFill="1" applyBorder="1"/>
    <xf numFmtId="9" fontId="76" fillId="11" borderId="41" xfId="1" applyFont="1" applyFill="1" applyBorder="1"/>
    <xf numFmtId="9" fontId="82" fillId="105" borderId="3" xfId="1" applyFont="1" applyFill="1" applyBorder="1" applyAlignment="1">
      <alignment horizontal="right"/>
    </xf>
    <xf numFmtId="9" fontId="82" fillId="105" borderId="8" xfId="1" applyFont="1" applyFill="1" applyBorder="1" applyAlignment="1">
      <alignment horizontal="right"/>
    </xf>
    <xf numFmtId="9" fontId="76" fillId="105" borderId="10" xfId="1" applyFont="1" applyFill="1" applyBorder="1"/>
    <xf numFmtId="9" fontId="82" fillId="105" borderId="10" xfId="1" applyFont="1" applyFill="1" applyBorder="1" applyAlignment="1">
      <alignment horizontal="right"/>
    </xf>
    <xf numFmtId="167" fontId="82" fillId="0" borderId="54" xfId="0" applyNumberFormat="1" applyFont="1" applyBorder="1" applyAlignment="1">
      <alignment horizontal="right" vertical="center"/>
    </xf>
    <xf numFmtId="167" fontId="82" fillId="21" borderId="8" xfId="0" applyNumberFormat="1" applyFont="1" applyFill="1" applyBorder="1" applyAlignment="1">
      <alignment horizontal="right" vertical="center"/>
    </xf>
    <xf numFmtId="9" fontId="76" fillId="0" borderId="54" xfId="1" applyFont="1" applyFill="1" applyBorder="1"/>
    <xf numFmtId="9" fontId="82" fillId="0" borderId="80" xfId="1" applyFont="1" applyFill="1" applyBorder="1" applyAlignment="1">
      <alignment horizontal="right" vertical="center"/>
    </xf>
    <xf numFmtId="9" fontId="76" fillId="73" borderId="8" xfId="1" applyFont="1" applyFill="1" applyBorder="1"/>
    <xf numFmtId="9" fontId="76" fillId="17" borderId="8" xfId="1" applyFont="1" applyFill="1" applyBorder="1"/>
    <xf numFmtId="9" fontId="82" fillId="17" borderId="8" xfId="1" applyFont="1" applyFill="1" applyBorder="1" applyAlignment="1">
      <alignment horizontal="right" vertical="center"/>
    </xf>
    <xf numFmtId="9" fontId="82" fillId="17" borderId="11" xfId="1" applyFont="1" applyFill="1" applyBorder="1" applyAlignment="1">
      <alignment horizontal="right" vertical="center"/>
    </xf>
    <xf numFmtId="9" fontId="76" fillId="73" borderId="8" xfId="1" applyFont="1" applyFill="1" applyBorder="1" applyAlignment="1">
      <alignment horizontal="right"/>
    </xf>
    <xf numFmtId="166" fontId="82" fillId="0" borderId="54" xfId="0" applyNumberFormat="1" applyFont="1" applyBorder="1" applyAlignment="1">
      <alignment horizontal="right" vertical="center"/>
    </xf>
    <xf numFmtId="166" fontId="82" fillId="17" borderId="8" xfId="0" applyNumberFormat="1" applyFont="1" applyFill="1" applyBorder="1" applyAlignment="1">
      <alignment horizontal="right" vertical="center"/>
    </xf>
    <xf numFmtId="166" fontId="82" fillId="17" borderId="11" xfId="0" applyNumberFormat="1" applyFont="1" applyFill="1" applyBorder="1" applyAlignment="1">
      <alignment horizontal="right" vertical="center"/>
    </xf>
    <xf numFmtId="9" fontId="76" fillId="0" borderId="80" xfId="1" applyFont="1" applyFill="1" applyBorder="1"/>
    <xf numFmtId="9" fontId="76" fillId="17" borderId="11" xfId="1" applyFont="1" applyFill="1" applyBorder="1"/>
    <xf numFmtId="0" fontId="80" fillId="18" borderId="92" xfId="0" applyFont="1" applyFill="1" applyBorder="1"/>
    <xf numFmtId="9" fontId="76" fillId="0" borderId="92" xfId="1" applyFont="1" applyFill="1" applyBorder="1"/>
    <xf numFmtId="9" fontId="76" fillId="73" borderId="92" xfId="1" applyFont="1" applyFill="1" applyBorder="1"/>
    <xf numFmtId="1" fontId="82" fillId="0" borderId="92" xfId="0" applyNumberFormat="1" applyFont="1" applyBorder="1" applyAlignment="1">
      <alignment horizontal="right" vertical="center"/>
    </xf>
    <xf numFmtId="3" fontId="76" fillId="5" borderId="92" xfId="0" applyNumberFormat="1" applyFont="1" applyFill="1" applyBorder="1"/>
    <xf numFmtId="3" fontId="76" fillId="0" borderId="92" xfId="0" applyNumberFormat="1" applyFont="1" applyBorder="1"/>
    <xf numFmtId="0" fontId="76" fillId="21" borderId="8" xfId="0" applyFont="1" applyFill="1" applyBorder="1"/>
    <xf numFmtId="3" fontId="82" fillId="17" borderId="8" xfId="0" applyNumberFormat="1" applyFont="1" applyFill="1" applyBorder="1" applyAlignment="1">
      <alignment horizontal="right" vertical="center"/>
    </xf>
    <xf numFmtId="3" fontId="82" fillId="17" borderId="11" xfId="0" applyNumberFormat="1" applyFont="1" applyFill="1" applyBorder="1" applyAlignment="1">
      <alignment horizontal="right" vertical="center"/>
    </xf>
    <xf numFmtId="3" fontId="82" fillId="5" borderId="92" xfId="0" applyNumberFormat="1" applyFont="1" applyFill="1" applyBorder="1" applyAlignment="1">
      <alignment horizontal="right" vertical="center"/>
    </xf>
    <xf numFmtId="166" fontId="82" fillId="0" borderId="92" xfId="0" applyNumberFormat="1" applyFont="1" applyBorder="1" applyAlignment="1">
      <alignment horizontal="right" vertical="center"/>
    </xf>
    <xf numFmtId="166" fontId="82" fillId="5" borderId="92" xfId="0" applyNumberFormat="1" applyFont="1" applyFill="1" applyBorder="1" applyAlignment="1">
      <alignment horizontal="right" vertical="center"/>
    </xf>
    <xf numFmtId="3" fontId="82" fillId="0" borderId="92" xfId="0" applyNumberFormat="1" applyFont="1" applyBorder="1" applyAlignment="1">
      <alignment horizontal="right" vertical="center"/>
    </xf>
    <xf numFmtId="1" fontId="82" fillId="5" borderId="92" xfId="0" applyNumberFormat="1" applyFont="1" applyFill="1" applyBorder="1" applyAlignment="1">
      <alignment horizontal="right" vertical="center"/>
    </xf>
    <xf numFmtId="167" fontId="82" fillId="21" borderId="92" xfId="0" applyNumberFormat="1" applyFont="1" applyFill="1" applyBorder="1" applyAlignment="1">
      <alignment horizontal="right" vertical="center"/>
    </xf>
    <xf numFmtId="9" fontId="82" fillId="0" borderId="92" xfId="1" applyFont="1" applyFill="1" applyBorder="1" applyAlignment="1">
      <alignment horizontal="right" vertical="center"/>
    </xf>
    <xf numFmtId="0" fontId="79" fillId="0" borderId="41" xfId="0" applyFont="1" applyBorder="1" applyAlignment="1">
      <alignment horizontal="center" vertical="center"/>
    </xf>
    <xf numFmtId="9" fontId="76" fillId="0" borderId="80" xfId="1" applyFont="1" applyFill="1" applyBorder="1" applyAlignment="1"/>
    <xf numFmtId="9" fontId="76" fillId="17" borderId="8" xfId="1" applyFont="1" applyFill="1" applyBorder="1" applyAlignment="1">
      <alignment horizontal="right"/>
    </xf>
    <xf numFmtId="9" fontId="76" fillId="17" borderId="11" xfId="1" applyFont="1" applyFill="1" applyBorder="1" applyAlignment="1"/>
    <xf numFmtId="166" fontId="76" fillId="0" borderId="92" xfId="0" applyNumberFormat="1" applyFont="1" applyBorder="1"/>
    <xf numFmtId="3" fontId="76" fillId="21" borderId="92" xfId="0" applyNumberFormat="1" applyFont="1" applyFill="1" applyBorder="1"/>
    <xf numFmtId="165" fontId="76" fillId="5" borderId="92" xfId="1" applyNumberFormat="1" applyFont="1" applyFill="1" applyBorder="1"/>
    <xf numFmtId="9" fontId="76" fillId="0" borderId="92" xfId="1" applyFont="1" applyFill="1" applyBorder="1" applyAlignment="1">
      <alignment horizontal="center"/>
    </xf>
    <xf numFmtId="1" fontId="82" fillId="17" borderId="11" xfId="0" applyNumberFormat="1" applyFont="1" applyFill="1" applyBorder="1" applyAlignment="1">
      <alignment horizontal="right" vertical="center"/>
    </xf>
    <xf numFmtId="0" fontId="80" fillId="5" borderId="66" xfId="0" applyFont="1" applyFill="1" applyBorder="1" applyAlignment="1">
      <alignment horizontal="left" vertical="center" wrapText="1"/>
    </xf>
    <xf numFmtId="0" fontId="79" fillId="71" borderId="94" xfId="116" applyFont="1" applyFill="1" applyBorder="1" applyAlignment="1">
      <alignment horizontal="center" vertical="center" wrapText="1"/>
    </xf>
    <xf numFmtId="0" fontId="79" fillId="5" borderId="94" xfId="0" applyFont="1" applyFill="1" applyBorder="1" applyAlignment="1">
      <alignment horizontal="center" vertical="center"/>
    </xf>
    <xf numFmtId="9" fontId="76" fillId="5" borderId="94" xfId="1" applyFont="1" applyFill="1" applyBorder="1"/>
    <xf numFmtId="9" fontId="76" fillId="5" borderId="95" xfId="1" applyFont="1" applyFill="1" applyBorder="1"/>
    <xf numFmtId="9" fontId="76" fillId="5" borderId="96" xfId="1" applyFont="1" applyFill="1" applyBorder="1"/>
    <xf numFmtId="9" fontId="76" fillId="5" borderId="92" xfId="1" applyFont="1" applyFill="1" applyBorder="1"/>
    <xf numFmtId="167" fontId="82" fillId="17" borderId="8" xfId="0" applyNumberFormat="1" applyFont="1" applyFill="1" applyBorder="1" applyAlignment="1">
      <alignment horizontal="right" vertical="center"/>
    </xf>
    <xf numFmtId="165" fontId="76" fillId="17" borderId="8" xfId="1" applyNumberFormat="1" applyFont="1" applyFill="1" applyBorder="1"/>
    <xf numFmtId="165" fontId="76" fillId="0" borderId="54" xfId="1" applyNumberFormat="1" applyFont="1" applyFill="1" applyBorder="1"/>
    <xf numFmtId="168" fontId="80" fillId="5" borderId="54" xfId="0" applyNumberFormat="1" applyFont="1" applyFill="1" applyBorder="1" applyAlignment="1">
      <alignment vertical="center"/>
    </xf>
    <xf numFmtId="168" fontId="80" fillId="5" borderId="8" xfId="0" applyNumberFormat="1" applyFont="1" applyFill="1" applyBorder="1" applyAlignment="1">
      <alignment vertical="center"/>
    </xf>
    <xf numFmtId="166" fontId="76" fillId="0" borderId="80" xfId="0" applyNumberFormat="1" applyFont="1" applyBorder="1" applyAlignment="1">
      <alignment vertical="center"/>
    </xf>
    <xf numFmtId="166" fontId="76" fillId="17" borderId="11" xfId="0" applyNumberFormat="1" applyFont="1" applyFill="1" applyBorder="1" applyAlignment="1">
      <alignment vertical="center"/>
    </xf>
    <xf numFmtId="11" fontId="80" fillId="72" borderId="74" xfId="116" applyNumberFormat="1" applyFont="1" applyFill="1" applyBorder="1" applyAlignment="1">
      <alignment horizontal="center" vertical="center" wrapText="1"/>
    </xf>
    <xf numFmtId="0" fontId="79" fillId="2" borderId="74" xfId="0" applyFont="1" applyFill="1" applyBorder="1" applyAlignment="1">
      <alignment horizontal="center" vertical="center"/>
    </xf>
    <xf numFmtId="166" fontId="76" fillId="0" borderId="74" xfId="0" applyNumberFormat="1" applyFont="1" applyBorder="1" applyAlignment="1">
      <alignment vertical="center"/>
    </xf>
    <xf numFmtId="166" fontId="76" fillId="5" borderId="74" xfId="0" applyNumberFormat="1" applyFont="1" applyFill="1" applyBorder="1" applyAlignment="1">
      <alignment vertical="center"/>
    </xf>
    <xf numFmtId="167" fontId="82" fillId="5" borderId="8" xfId="0" applyNumberFormat="1" applyFont="1" applyFill="1" applyBorder="1"/>
    <xf numFmtId="166" fontId="76" fillId="5" borderId="92" xfId="0" applyNumberFormat="1" applyFont="1" applyFill="1" applyBorder="1" applyAlignment="1">
      <alignment vertical="center"/>
    </xf>
    <xf numFmtId="166" fontId="114" fillId="21" borderId="8" xfId="0" applyNumberFormat="1" applyFont="1" applyFill="1" applyBorder="1" applyAlignment="1">
      <alignment vertical="center"/>
    </xf>
    <xf numFmtId="10" fontId="76" fillId="2" borderId="0" xfId="1" applyNumberFormat="1" applyFont="1" applyFill="1"/>
    <xf numFmtId="0" fontId="115" fillId="2" borderId="0" xfId="0" applyFont="1" applyFill="1"/>
    <xf numFmtId="0" fontId="115" fillId="2" borderId="0" xfId="0" applyFont="1" applyFill="1" applyAlignment="1">
      <alignment horizontal="left"/>
    </xf>
    <xf numFmtId="165" fontId="115" fillId="2" borderId="0" xfId="1" applyNumberFormat="1" applyFont="1" applyFill="1"/>
    <xf numFmtId="0" fontId="115" fillId="0" borderId="0" xfId="0" applyFont="1"/>
    <xf numFmtId="0" fontId="115" fillId="24" borderId="0" xfId="0" applyFont="1" applyFill="1"/>
    <xf numFmtId="181" fontId="115" fillId="2" borderId="0" xfId="0" applyNumberFormat="1" applyFont="1" applyFill="1"/>
    <xf numFmtId="181" fontId="115" fillId="2" borderId="0" xfId="0" quotePrefix="1" applyNumberFormat="1" applyFont="1" applyFill="1"/>
    <xf numFmtId="185" fontId="90" fillId="0" borderId="0" xfId="0" applyNumberFormat="1" applyFont="1" applyAlignment="1">
      <alignment horizontal="right" vertical="center"/>
    </xf>
    <xf numFmtId="167" fontId="115" fillId="2" borderId="0" xfId="0" applyNumberFormat="1" applyFont="1" applyFill="1"/>
    <xf numFmtId="0" fontId="96" fillId="2" borderId="0" xfId="0" applyFont="1" applyFill="1"/>
    <xf numFmtId="0" fontId="97" fillId="2" borderId="0" xfId="0" applyFont="1" applyFill="1" applyAlignment="1">
      <alignment horizontal="center"/>
    </xf>
    <xf numFmtId="0" fontId="98" fillId="2" borderId="0" xfId="0" applyFont="1" applyFill="1" applyAlignment="1">
      <alignment vertical="center"/>
    </xf>
    <xf numFmtId="0" fontId="98" fillId="2" borderId="0" xfId="0" applyFont="1" applyFill="1" applyAlignment="1">
      <alignment horizontal="left" vertical="center"/>
    </xf>
    <xf numFmtId="0" fontId="76" fillId="2" borderId="3" xfId="0" applyFont="1" applyFill="1" applyBorder="1"/>
    <xf numFmtId="0" fontId="99" fillId="2" borderId="0" xfId="0" applyFont="1" applyFill="1"/>
    <xf numFmtId="0" fontId="76" fillId="22" borderId="41" xfId="116" applyFont="1" applyFill="1" applyBorder="1" applyAlignment="1">
      <alignment wrapText="1"/>
    </xf>
    <xf numFmtId="0" fontId="76" fillId="17" borderId="3" xfId="0" applyFont="1" applyFill="1" applyBorder="1"/>
    <xf numFmtId="0" fontId="76" fillId="71" borderId="41" xfId="116" applyFont="1" applyFill="1" applyBorder="1" applyAlignment="1">
      <alignment wrapText="1"/>
    </xf>
    <xf numFmtId="0" fontId="76" fillId="5" borderId="3" xfId="0" applyFont="1" applyFill="1" applyBorder="1"/>
    <xf numFmtId="0" fontId="76" fillId="72" borderId="41" xfId="116" applyFont="1" applyFill="1" applyBorder="1" applyAlignment="1">
      <alignment wrapText="1"/>
    </xf>
    <xf numFmtId="0" fontId="76" fillId="21" borderId="3" xfId="0" applyFont="1" applyFill="1" applyBorder="1"/>
    <xf numFmtId="0" fontId="100" fillId="2" borderId="0" xfId="0" applyFont="1" applyFill="1"/>
    <xf numFmtId="0" fontId="76" fillId="73" borderId="3" xfId="0" applyFont="1" applyFill="1" applyBorder="1"/>
    <xf numFmtId="0" fontId="101" fillId="2" borderId="0" xfId="4" applyFont="1" applyFill="1" applyProtection="1"/>
    <xf numFmtId="0" fontId="95" fillId="0" borderId="1" xfId="0" applyFont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8" fillId="2" borderId="0" xfId="0" applyFont="1" applyFill="1" applyAlignment="1">
      <alignment horizontal="left" vertical="center"/>
    </xf>
    <xf numFmtId="0" fontId="97" fillId="2" borderId="0" xfId="0" applyFont="1" applyFill="1" applyAlignment="1">
      <alignment horizontal="center" vertical="center"/>
    </xf>
    <xf numFmtId="0" fontId="79" fillId="16" borderId="12" xfId="0" applyFont="1" applyFill="1" applyBorder="1" applyAlignment="1">
      <alignment horizontal="center" vertical="center"/>
    </xf>
    <xf numFmtId="0" fontId="79" fillId="16" borderId="44" xfId="0" applyFont="1" applyFill="1" applyBorder="1" applyAlignment="1">
      <alignment horizontal="center" vertical="center"/>
    </xf>
    <xf numFmtId="0" fontId="79" fillId="16" borderId="76" xfId="0" applyFont="1" applyFill="1" applyBorder="1" applyAlignment="1">
      <alignment horizontal="center" vertical="center"/>
    </xf>
    <xf numFmtId="0" fontId="79" fillId="16" borderId="45" xfId="0" applyFont="1" applyFill="1" applyBorder="1" applyAlignment="1">
      <alignment horizontal="center" vertical="center"/>
    </xf>
    <xf numFmtId="3" fontId="76" fillId="0" borderId="79" xfId="0" applyNumberFormat="1" applyFont="1" applyBorder="1" applyAlignment="1">
      <alignment horizontal="right" vertical="center"/>
    </xf>
    <xf numFmtId="3" fontId="76" fillId="0" borderId="59" xfId="0" applyNumberFormat="1" applyFont="1" applyBorder="1" applyAlignment="1">
      <alignment horizontal="right" vertical="center"/>
    </xf>
    <xf numFmtId="168" fontId="76" fillId="0" borderId="79" xfId="0" applyNumberFormat="1" applyFont="1" applyBorder="1" applyAlignment="1">
      <alignment horizontal="right" vertical="center"/>
    </xf>
    <xf numFmtId="168" fontId="76" fillId="0" borderId="59" xfId="0" applyNumberFormat="1" applyFont="1" applyBorder="1" applyAlignment="1">
      <alignment horizontal="right" vertical="center"/>
    </xf>
    <xf numFmtId="0" fontId="79" fillId="12" borderId="12" xfId="0" applyFont="1" applyFill="1" applyBorder="1" applyAlignment="1">
      <alignment horizontal="center" vertical="center" wrapText="1"/>
    </xf>
    <xf numFmtId="0" fontId="79" fillId="12" borderId="44" xfId="0" applyFont="1" applyFill="1" applyBorder="1" applyAlignment="1">
      <alignment horizontal="center" vertical="center" wrapText="1"/>
    </xf>
    <xf numFmtId="0" fontId="79" fillId="12" borderId="76" xfId="0" applyFont="1" applyFill="1" applyBorder="1" applyAlignment="1">
      <alignment horizontal="center" vertical="center" wrapText="1"/>
    </xf>
    <xf numFmtId="0" fontId="79" fillId="12" borderId="45" xfId="0" applyFont="1" applyFill="1" applyBorder="1" applyAlignment="1">
      <alignment horizontal="center" vertical="center" wrapText="1"/>
    </xf>
    <xf numFmtId="0" fontId="79" fillId="12" borderId="7" xfId="0" applyFont="1" applyFill="1" applyBorder="1" applyAlignment="1">
      <alignment horizontal="center" vertical="center" wrapText="1"/>
    </xf>
    <xf numFmtId="0" fontId="79" fillId="12" borderId="41" xfId="0" applyFont="1" applyFill="1" applyBorder="1" applyAlignment="1">
      <alignment horizontal="center" vertical="center" wrapText="1"/>
    </xf>
    <xf numFmtId="0" fontId="79" fillId="12" borderId="54" xfId="0" applyFont="1" applyFill="1" applyBorder="1" applyAlignment="1">
      <alignment horizontal="center" vertical="center" wrapText="1"/>
    </xf>
    <xf numFmtId="0" fontId="79" fillId="12" borderId="8" xfId="0" applyFont="1" applyFill="1" applyBorder="1" applyAlignment="1">
      <alignment horizontal="center" vertical="center" wrapText="1"/>
    </xf>
    <xf numFmtId="0" fontId="80" fillId="7" borderId="12" xfId="0" applyFont="1" applyFill="1" applyBorder="1" applyAlignment="1">
      <alignment horizontal="center" vertical="center"/>
    </xf>
    <xf numFmtId="0" fontId="80" fillId="7" borderId="76" xfId="0" applyFont="1" applyFill="1" applyBorder="1" applyAlignment="1">
      <alignment horizontal="center" vertical="center"/>
    </xf>
    <xf numFmtId="0" fontId="80" fillId="7" borderId="75" xfId="0" applyFont="1" applyFill="1" applyBorder="1" applyAlignment="1">
      <alignment horizontal="center" vertical="center"/>
    </xf>
    <xf numFmtId="0" fontId="79" fillId="7" borderId="12" xfId="0" applyFont="1" applyFill="1" applyBorder="1" applyAlignment="1">
      <alignment horizontal="center" vertical="center"/>
    </xf>
    <xf numFmtId="0" fontId="79" fillId="7" borderId="76" xfId="0" applyFont="1" applyFill="1" applyBorder="1" applyAlignment="1">
      <alignment horizontal="center" vertical="center"/>
    </xf>
    <xf numFmtId="0" fontId="79" fillId="7" borderId="75" xfId="0" applyFont="1" applyFill="1" applyBorder="1" applyAlignment="1">
      <alignment horizontal="center" vertical="center"/>
    </xf>
    <xf numFmtId="0" fontId="80" fillId="7" borderId="7" xfId="0" applyFont="1" applyFill="1" applyBorder="1" applyAlignment="1">
      <alignment horizontal="center" vertical="center"/>
    </xf>
    <xf numFmtId="0" fontId="80" fillId="7" borderId="41" xfId="0" applyFont="1" applyFill="1" applyBorder="1" applyAlignment="1">
      <alignment horizontal="center" vertical="center"/>
    </xf>
    <xf numFmtId="0" fontId="80" fillId="7" borderId="38" xfId="0" applyFont="1" applyFill="1" applyBorder="1" applyAlignment="1">
      <alignment horizontal="center" vertical="center"/>
    </xf>
    <xf numFmtId="0" fontId="80" fillId="7" borderId="39" xfId="0" applyFont="1" applyFill="1" applyBorder="1" applyAlignment="1">
      <alignment horizontal="center" vertical="center"/>
    </xf>
    <xf numFmtId="0" fontId="80" fillId="7" borderId="40" xfId="0" applyFont="1" applyFill="1" applyBorder="1" applyAlignment="1">
      <alignment horizontal="center" vertical="center"/>
    </xf>
    <xf numFmtId="0" fontId="80" fillId="7" borderId="55" xfId="0" applyFont="1" applyFill="1" applyBorder="1" applyAlignment="1">
      <alignment horizontal="center" vertical="center"/>
    </xf>
    <xf numFmtId="0" fontId="80" fillId="7" borderId="56" xfId="0" applyFont="1" applyFill="1" applyBorder="1" applyAlignment="1">
      <alignment horizontal="center" vertical="center"/>
    </xf>
    <xf numFmtId="0" fontId="80" fillId="7" borderId="44" xfId="0" applyFont="1" applyFill="1" applyBorder="1" applyAlignment="1">
      <alignment horizontal="center" vertical="center"/>
    </xf>
    <xf numFmtId="0" fontId="80" fillId="7" borderId="45" xfId="0" applyFont="1" applyFill="1" applyBorder="1" applyAlignment="1">
      <alignment horizontal="center" vertical="center"/>
    </xf>
    <xf numFmtId="165" fontId="76" fillId="0" borderId="41" xfId="1" applyNumberFormat="1" applyFont="1" applyFill="1" applyBorder="1" applyAlignment="1">
      <alignment horizontal="center"/>
    </xf>
    <xf numFmtId="0" fontId="79" fillId="7" borderId="44" xfId="0" applyFont="1" applyFill="1" applyBorder="1" applyAlignment="1">
      <alignment horizontal="center" vertical="center"/>
    </xf>
    <xf numFmtId="0" fontId="79" fillId="7" borderId="45" xfId="0" applyFont="1" applyFill="1" applyBorder="1" applyAlignment="1">
      <alignment horizontal="center" vertical="center"/>
    </xf>
    <xf numFmtId="0" fontId="80" fillId="7" borderId="3" xfId="0" applyFont="1" applyFill="1" applyBorder="1" applyAlignment="1">
      <alignment horizontal="center" vertical="center"/>
    </xf>
    <xf numFmtId="0" fontId="80" fillId="7" borderId="82" xfId="0" applyFont="1" applyFill="1" applyBorder="1" applyAlignment="1">
      <alignment horizontal="center" vertical="center"/>
    </xf>
    <xf numFmtId="0" fontId="80" fillId="7" borderId="58" xfId="0" applyFont="1" applyFill="1" applyBorder="1" applyAlignment="1">
      <alignment horizontal="center" vertical="center"/>
    </xf>
    <xf numFmtId="0" fontId="80" fillId="7" borderId="63" xfId="0" applyFont="1" applyFill="1" applyBorder="1" applyAlignment="1">
      <alignment horizontal="center" vertical="center"/>
    </xf>
    <xf numFmtId="0" fontId="80" fillId="7" borderId="62" xfId="0" applyFont="1" applyFill="1" applyBorder="1" applyAlignment="1">
      <alignment horizontal="center" vertical="center"/>
    </xf>
    <xf numFmtId="0" fontId="80" fillId="7" borderId="61" xfId="0" applyFont="1" applyFill="1" applyBorder="1" applyAlignment="1">
      <alignment horizontal="center" vertical="center"/>
    </xf>
    <xf numFmtId="165" fontId="76" fillId="0" borderId="82" xfId="1" applyNumberFormat="1" applyFont="1" applyFill="1" applyBorder="1" applyAlignment="1">
      <alignment horizontal="center"/>
    </xf>
    <xf numFmtId="165" fontId="76" fillId="0" borderId="58" xfId="1" applyNumberFormat="1" applyFont="1" applyFill="1" applyBorder="1" applyAlignment="1">
      <alignment horizontal="center"/>
    </xf>
    <xf numFmtId="0" fontId="79" fillId="20" borderId="7" xfId="0" applyFont="1" applyFill="1" applyBorder="1" applyAlignment="1">
      <alignment horizontal="center" vertical="center"/>
    </xf>
    <xf numFmtId="0" fontId="79" fillId="20" borderId="41" xfId="0" applyFont="1" applyFill="1" applyBorder="1" applyAlignment="1">
      <alignment horizontal="center" vertical="center"/>
    </xf>
    <xf numFmtId="0" fontId="79" fillId="20" borderId="92" xfId="0" applyFont="1" applyFill="1" applyBorder="1" applyAlignment="1">
      <alignment horizontal="center" vertical="center"/>
    </xf>
    <xf numFmtId="0" fontId="79" fillId="20" borderId="8" xfId="0" applyFont="1" applyFill="1" applyBorder="1" applyAlignment="1">
      <alignment horizontal="center" vertical="center"/>
    </xf>
    <xf numFmtId="0" fontId="79" fillId="20" borderId="12" xfId="0" applyFont="1" applyFill="1" applyBorder="1" applyAlignment="1">
      <alignment horizontal="center" vertical="center"/>
    </xf>
    <xf numFmtId="0" fontId="79" fillId="20" borderId="76" xfId="0" applyFont="1" applyFill="1" applyBorder="1" applyAlignment="1">
      <alignment horizontal="center" vertical="center"/>
    </xf>
    <xf numFmtId="0" fontId="79" fillId="20" borderId="75" xfId="0" applyFont="1" applyFill="1" applyBorder="1" applyAlignment="1">
      <alignment horizontal="center" vertical="center"/>
    </xf>
    <xf numFmtId="1" fontId="82" fillId="17" borderId="78" xfId="0" applyNumberFormat="1" applyFont="1" applyFill="1" applyBorder="1" applyAlignment="1">
      <alignment horizontal="right" vertical="center"/>
    </xf>
    <xf numFmtId="1" fontId="82" fillId="17" borderId="52" xfId="0" applyNumberFormat="1" applyFont="1" applyFill="1" applyBorder="1" applyAlignment="1">
      <alignment horizontal="right" vertical="center"/>
    </xf>
    <xf numFmtId="1" fontId="82" fillId="0" borderId="79" xfId="0" applyNumberFormat="1" applyFont="1" applyBorder="1" applyAlignment="1">
      <alignment horizontal="right" vertical="center"/>
    </xf>
    <xf numFmtId="1" fontId="82" fillId="0" borderId="59" xfId="0" applyNumberFormat="1" applyFont="1" applyBorder="1" applyAlignment="1">
      <alignment horizontal="right" vertical="center"/>
    </xf>
    <xf numFmtId="1" fontId="82" fillId="2" borderId="41" xfId="0" applyNumberFormat="1" applyFont="1" applyFill="1" applyBorder="1" applyAlignment="1">
      <alignment horizontal="right" vertical="center"/>
    </xf>
    <xf numFmtId="9" fontId="76" fillId="2" borderId="41" xfId="1" applyFont="1" applyFill="1" applyBorder="1" applyAlignment="1">
      <alignment horizontal="center"/>
    </xf>
    <xf numFmtId="0" fontId="79" fillId="20" borderId="77" xfId="0" applyFont="1" applyFill="1" applyBorder="1" applyAlignment="1">
      <alignment horizontal="center" vertical="center"/>
    </xf>
    <xf numFmtId="0" fontId="79" fillId="20" borderId="44" xfId="0" applyFont="1" applyFill="1" applyBorder="1" applyAlignment="1">
      <alignment horizontal="center" vertical="center"/>
    </xf>
    <xf numFmtId="0" fontId="79" fillId="20" borderId="45" xfId="0" applyFont="1" applyFill="1" applyBorder="1" applyAlignment="1">
      <alignment horizontal="center" vertical="center"/>
    </xf>
  </cellXfs>
  <cellStyles count="719">
    <cellStyle name="20 % - Accent1" xfId="411" builtinId="30" customBuiltin="1"/>
    <cellStyle name="20 % - Accent1 2" xfId="6" xr:uid="{00000000-0005-0000-0000-000001000000}"/>
    <cellStyle name="20 % - Accent2" xfId="415" builtinId="34" customBuiltin="1"/>
    <cellStyle name="20 % - Accent2 2" xfId="7" xr:uid="{00000000-0005-0000-0000-000003000000}"/>
    <cellStyle name="20 % - Accent3" xfId="419" builtinId="38" customBuiltin="1"/>
    <cellStyle name="20 % - Accent3 2" xfId="8" xr:uid="{00000000-0005-0000-0000-000005000000}"/>
    <cellStyle name="20 % - Accent4" xfId="423" builtinId="42" customBuiltin="1"/>
    <cellStyle name="20 % - Accent4 2" xfId="9" xr:uid="{00000000-0005-0000-0000-000007000000}"/>
    <cellStyle name="20 % - Accent5" xfId="427" builtinId="46" customBuiltin="1"/>
    <cellStyle name="20 % - Accent5 2" xfId="10" xr:uid="{00000000-0005-0000-0000-000009000000}"/>
    <cellStyle name="20 % - Accent6" xfId="431" builtinId="50" customBuiltin="1"/>
    <cellStyle name="20 % - Accent6 2" xfId="11" xr:uid="{00000000-0005-0000-0000-00000B000000}"/>
    <cellStyle name="40 % - Accent1" xfId="412" builtinId="31" customBuiltin="1"/>
    <cellStyle name="40 % - Accent1 2" xfId="12" xr:uid="{00000000-0005-0000-0000-00000D000000}"/>
    <cellStyle name="40 % - Accent2" xfId="416" builtinId="35" customBuiltin="1"/>
    <cellStyle name="40 % - Accent2 2" xfId="13" xr:uid="{00000000-0005-0000-0000-00000F000000}"/>
    <cellStyle name="40 % - Accent3" xfId="420" builtinId="39" customBuiltin="1"/>
    <cellStyle name="40 % - Accent3 2" xfId="14" xr:uid="{00000000-0005-0000-0000-000011000000}"/>
    <cellStyle name="40 % - Accent4" xfId="424" builtinId="43" customBuiltin="1"/>
    <cellStyle name="40 % - Accent4 2" xfId="15" xr:uid="{00000000-0005-0000-0000-000013000000}"/>
    <cellStyle name="40 % - Accent5" xfId="428" builtinId="47" customBuiltin="1"/>
    <cellStyle name="40 % - Accent5 2" xfId="16" xr:uid="{00000000-0005-0000-0000-000015000000}"/>
    <cellStyle name="40 % - Accent6" xfId="432" builtinId="51" customBuiltin="1"/>
    <cellStyle name="40 % - Accent6 2" xfId="17" xr:uid="{00000000-0005-0000-0000-000017000000}"/>
    <cellStyle name="60 % - Accent1" xfId="413" builtinId="32" customBuiltin="1"/>
    <cellStyle name="60 % - Accent1 2" xfId="18" xr:uid="{00000000-0005-0000-0000-000019000000}"/>
    <cellStyle name="60 % - Accent2" xfId="417" builtinId="36" customBuiltin="1"/>
    <cellStyle name="60 % - Accent2 2" xfId="19" xr:uid="{00000000-0005-0000-0000-00001B000000}"/>
    <cellStyle name="60 % - Accent3" xfId="421" builtinId="40" customBuiltin="1"/>
    <cellStyle name="60 % - Accent3 2" xfId="20" xr:uid="{00000000-0005-0000-0000-00001D000000}"/>
    <cellStyle name="60 % - Accent4" xfId="425" builtinId="44" customBuiltin="1"/>
    <cellStyle name="60 % - Accent4 2" xfId="21" xr:uid="{00000000-0005-0000-0000-00001F000000}"/>
    <cellStyle name="60 % - Accent5" xfId="429" builtinId="48" customBuiltin="1"/>
    <cellStyle name="60 % - Accent5 2" xfId="22" xr:uid="{00000000-0005-0000-0000-000021000000}"/>
    <cellStyle name="60 % - Accent6" xfId="433" builtinId="52" customBuiltin="1"/>
    <cellStyle name="60 % - Accent6 2" xfId="23" xr:uid="{00000000-0005-0000-0000-000023000000}"/>
    <cellStyle name="Accent1" xfId="410" builtinId="29" customBuiltin="1"/>
    <cellStyle name="Accent1 2" xfId="24" xr:uid="{00000000-0005-0000-0000-000025000000}"/>
    <cellStyle name="Accent2" xfId="414" builtinId="33" customBuiltin="1"/>
    <cellStyle name="Accent2 2" xfId="25" xr:uid="{00000000-0005-0000-0000-000027000000}"/>
    <cellStyle name="Accent3" xfId="418" builtinId="37" customBuiltin="1"/>
    <cellStyle name="Accent3 2" xfId="26" xr:uid="{00000000-0005-0000-0000-000029000000}"/>
    <cellStyle name="Accent4" xfId="422" builtinId="41" customBuiltin="1"/>
    <cellStyle name="Accent4 2" xfId="27" xr:uid="{00000000-0005-0000-0000-00002B000000}"/>
    <cellStyle name="Accent5" xfId="426" builtinId="45" customBuiltin="1"/>
    <cellStyle name="Accent5 2" xfId="28" xr:uid="{00000000-0005-0000-0000-00002D000000}"/>
    <cellStyle name="Accent6" xfId="430" builtinId="49" customBuiltin="1"/>
    <cellStyle name="Accent6 2" xfId="29" xr:uid="{00000000-0005-0000-0000-00002F000000}"/>
    <cellStyle name="Avertissement" xfId="406" builtinId="11" customBuiltin="1"/>
    <cellStyle name="Avertissement 2" xfId="30" xr:uid="{00000000-0005-0000-0000-000031000000}"/>
    <cellStyle name="BETRANCOURT" xfId="52" xr:uid="{00000000-0005-0000-0000-000032000000}"/>
    <cellStyle name="Calcul" xfId="403" builtinId="22" customBuiltin="1"/>
    <cellStyle name="Calcul 2" xfId="31" xr:uid="{00000000-0005-0000-0000-000034000000}"/>
    <cellStyle name="Calcul 2 2" xfId="293" xr:uid="{00000000-0005-0000-0000-000035000000}"/>
    <cellStyle name="Calcul 2 2 2" xfId="538" xr:uid="{00000000-0005-0000-0000-000036000000}"/>
    <cellStyle name="Calcul 2 2 3" xfId="642" xr:uid="{00000000-0005-0000-0000-000037000000}"/>
    <cellStyle name="Calcul 2 3" xfId="438" xr:uid="{00000000-0005-0000-0000-000038000000}"/>
    <cellStyle name="Cellule liée" xfId="404" builtinId="24" customBuiltin="1"/>
    <cellStyle name="Cellule liée 2" xfId="32" xr:uid="{00000000-0005-0000-0000-00003A000000}"/>
    <cellStyle name="classeur | note | numero" xfId="53" xr:uid="{00000000-0005-0000-0000-00003B000000}"/>
    <cellStyle name="classeur | note | texte" xfId="54" xr:uid="{00000000-0005-0000-0000-00003C000000}"/>
    <cellStyle name="classeur | note | texte 2" xfId="300" xr:uid="{00000000-0005-0000-0000-00003D000000}"/>
    <cellStyle name="classeur | note | texte 2 2" xfId="545" xr:uid="{00000000-0005-0000-0000-00003E000000}"/>
    <cellStyle name="classeur | note | texte 2 3" xfId="646" xr:uid="{00000000-0005-0000-0000-00003F000000}"/>
    <cellStyle name="classeur | note | texte 3" xfId="445" xr:uid="{00000000-0005-0000-0000-000040000000}"/>
    <cellStyle name="classeur | reference | tabl-structure (standard)" xfId="55" xr:uid="{00000000-0005-0000-0000-000041000000}"/>
    <cellStyle name="classeur | theme | intitule" xfId="56" xr:uid="{00000000-0005-0000-0000-000042000000}"/>
    <cellStyle name="classeur | theme | notice explicative" xfId="57" xr:uid="{00000000-0005-0000-0000-000043000000}"/>
    <cellStyle name="coin" xfId="58" xr:uid="{00000000-0005-0000-0000-000044000000}"/>
    <cellStyle name="coin 2" xfId="301" xr:uid="{00000000-0005-0000-0000-000045000000}"/>
    <cellStyle name="coin 2 2" xfId="546" xr:uid="{00000000-0005-0000-0000-000046000000}"/>
    <cellStyle name="coin 2 3" xfId="647" xr:uid="{00000000-0005-0000-0000-000047000000}"/>
    <cellStyle name="coin 3" xfId="446" xr:uid="{00000000-0005-0000-0000-000048000000}"/>
    <cellStyle name="Comma 2" xfId="59" xr:uid="{00000000-0005-0000-0000-000049000000}"/>
    <cellStyle name="Comma 2 2" xfId="302" xr:uid="{00000000-0005-0000-0000-00004A000000}"/>
    <cellStyle name="Comma 2 2 2" xfId="547" xr:uid="{00000000-0005-0000-0000-00004B000000}"/>
    <cellStyle name="Comma 2 3" xfId="447" xr:uid="{00000000-0005-0000-0000-00004C000000}"/>
    <cellStyle name="Comma 3" xfId="60" xr:uid="{00000000-0005-0000-0000-00004D000000}"/>
    <cellStyle name="Comma 3 2" xfId="303" xr:uid="{00000000-0005-0000-0000-00004E000000}"/>
    <cellStyle name="Comma 3 2 2" xfId="548" xr:uid="{00000000-0005-0000-0000-00004F000000}"/>
    <cellStyle name="Comma 3 3" xfId="448" xr:uid="{00000000-0005-0000-0000-000050000000}"/>
    <cellStyle name="Comma 4" xfId="61" xr:uid="{00000000-0005-0000-0000-000051000000}"/>
    <cellStyle name="Comma 4 2" xfId="304" xr:uid="{00000000-0005-0000-0000-000052000000}"/>
    <cellStyle name="Comma 4 2 2" xfId="549" xr:uid="{00000000-0005-0000-0000-000053000000}"/>
    <cellStyle name="Comma 4 3" xfId="449" xr:uid="{00000000-0005-0000-0000-000054000000}"/>
    <cellStyle name="Conforme" xfId="62" xr:uid="{00000000-0005-0000-0000-000055000000}"/>
    <cellStyle name="contenu_unite" xfId="63" xr:uid="{00000000-0005-0000-0000-000056000000}"/>
    <cellStyle name="Date" xfId="64" xr:uid="{00000000-0005-0000-0000-000057000000}"/>
    <cellStyle name="donn_normal" xfId="65" xr:uid="{00000000-0005-0000-0000-000058000000}"/>
    <cellStyle name="Ef-cellule_N3-cadre_bleu-centré" xfId="2" xr:uid="{00000000-0005-0000-0000-000059000000}"/>
    <cellStyle name="ent_col_struc_normal" xfId="66" xr:uid="{00000000-0005-0000-0000-00005A000000}"/>
    <cellStyle name="En-tête 1" xfId="67" xr:uid="{00000000-0005-0000-0000-00005B000000}"/>
    <cellStyle name="En-tête 2" xfId="68" xr:uid="{00000000-0005-0000-0000-00005C000000}"/>
    <cellStyle name="entete_source" xfId="69" xr:uid="{00000000-0005-0000-0000-00005D000000}"/>
    <cellStyle name="Entrée" xfId="401" builtinId="20" customBuiltin="1"/>
    <cellStyle name="Entrée 2" xfId="33" xr:uid="{00000000-0005-0000-0000-00005F000000}"/>
    <cellStyle name="Entrée 2 2" xfId="294" xr:uid="{00000000-0005-0000-0000-000060000000}"/>
    <cellStyle name="Entrée 2 2 2" xfId="539" xr:uid="{00000000-0005-0000-0000-000061000000}"/>
    <cellStyle name="Entrée 2 2 3" xfId="643" xr:uid="{00000000-0005-0000-0000-000062000000}"/>
    <cellStyle name="Entrée 2 3" xfId="439" xr:uid="{00000000-0005-0000-0000-000063000000}"/>
    <cellStyle name="Euro" xfId="34" xr:uid="{00000000-0005-0000-0000-000064000000}"/>
    <cellStyle name="Euro 2" xfId="70" xr:uid="{00000000-0005-0000-0000-000065000000}"/>
    <cellStyle name="Euro 2 2" xfId="305" xr:uid="{00000000-0005-0000-0000-000066000000}"/>
    <cellStyle name="Euro 2 2 2" xfId="550" xr:uid="{00000000-0005-0000-0000-000067000000}"/>
    <cellStyle name="Euro 2 3" xfId="450" xr:uid="{00000000-0005-0000-0000-000068000000}"/>
    <cellStyle name="Financier" xfId="71" xr:uid="{00000000-0005-0000-0000-000069000000}"/>
    <cellStyle name="Financier0" xfId="72" xr:uid="{00000000-0005-0000-0000-00006A000000}"/>
    <cellStyle name="Hyperlink 2" xfId="73" xr:uid="{00000000-0005-0000-0000-00006B000000}"/>
    <cellStyle name="Hyperlink 3" xfId="74" xr:uid="{00000000-0005-0000-0000-00006C000000}"/>
    <cellStyle name="Insatisfaisant" xfId="399" builtinId="27" customBuiltin="1"/>
    <cellStyle name="Insatisfaisant 2" xfId="35" xr:uid="{00000000-0005-0000-0000-00006E000000}"/>
    <cellStyle name="Insatisfaisant 2 2" xfId="75" xr:uid="{00000000-0005-0000-0000-00006F000000}"/>
    <cellStyle name="Lien hypertexte" xfId="4" builtinId="8"/>
    <cellStyle name="Lien hypertexte 2" xfId="36" xr:uid="{00000000-0005-0000-0000-000071000000}"/>
    <cellStyle name="ligne_titre_0" xfId="76" xr:uid="{00000000-0005-0000-0000-000072000000}"/>
    <cellStyle name="Milliers 10" xfId="291" xr:uid="{00000000-0005-0000-0000-000073000000}"/>
    <cellStyle name="Milliers 10 2" xfId="392" xr:uid="{00000000-0005-0000-0000-000074000000}"/>
    <cellStyle name="Milliers 10 2 2" xfId="637" xr:uid="{00000000-0005-0000-0000-000075000000}"/>
    <cellStyle name="Milliers 10 3" xfId="537" xr:uid="{00000000-0005-0000-0000-000076000000}"/>
    <cellStyle name="Milliers 11" xfId="434" xr:uid="{00000000-0005-0000-0000-000077000000}"/>
    <cellStyle name="Milliers 11 2" xfId="638" xr:uid="{00000000-0005-0000-0000-000078000000}"/>
    <cellStyle name="Milliers 2" xfId="38" xr:uid="{00000000-0005-0000-0000-000079000000}"/>
    <cellStyle name="Milliers 2 2" xfId="78" xr:uid="{00000000-0005-0000-0000-00007A000000}"/>
    <cellStyle name="Milliers 2 2 2" xfId="79" xr:uid="{00000000-0005-0000-0000-00007B000000}"/>
    <cellStyle name="Milliers 2 2 2 2" xfId="308" xr:uid="{00000000-0005-0000-0000-00007C000000}"/>
    <cellStyle name="Milliers 2 2 2 2 2" xfId="553" xr:uid="{00000000-0005-0000-0000-00007D000000}"/>
    <cellStyle name="Milliers 2 2 2 3" xfId="453" xr:uid="{00000000-0005-0000-0000-00007E000000}"/>
    <cellStyle name="Milliers 2 2 3" xfId="307" xr:uid="{00000000-0005-0000-0000-00007F000000}"/>
    <cellStyle name="Milliers 2 2 3 2" xfId="552" xr:uid="{00000000-0005-0000-0000-000080000000}"/>
    <cellStyle name="Milliers 2 2 4" xfId="437" xr:uid="{00000000-0005-0000-0000-000081000000}"/>
    <cellStyle name="Milliers 2 2 4 2" xfId="641" xr:uid="{00000000-0005-0000-0000-000082000000}"/>
    <cellStyle name="Milliers 2 2 5" xfId="452" xr:uid="{00000000-0005-0000-0000-000083000000}"/>
    <cellStyle name="Milliers 2 3" xfId="80" xr:uid="{00000000-0005-0000-0000-000084000000}"/>
    <cellStyle name="Milliers 2 3 2" xfId="309" xr:uid="{00000000-0005-0000-0000-000085000000}"/>
    <cellStyle name="Milliers 2 3 2 2" xfId="554" xr:uid="{00000000-0005-0000-0000-000086000000}"/>
    <cellStyle name="Milliers 2 3 3" xfId="454" xr:uid="{00000000-0005-0000-0000-000087000000}"/>
    <cellStyle name="Milliers 2 4" xfId="81" xr:uid="{00000000-0005-0000-0000-000088000000}"/>
    <cellStyle name="Milliers 2 4 2" xfId="310" xr:uid="{00000000-0005-0000-0000-000089000000}"/>
    <cellStyle name="Milliers 2 4 2 2" xfId="555" xr:uid="{00000000-0005-0000-0000-00008A000000}"/>
    <cellStyle name="Milliers 2 4 3" xfId="455" xr:uid="{00000000-0005-0000-0000-00008B000000}"/>
    <cellStyle name="Milliers 2 5" xfId="51" xr:uid="{00000000-0005-0000-0000-00008C000000}"/>
    <cellStyle name="Milliers 2 5 2" xfId="299" xr:uid="{00000000-0005-0000-0000-00008D000000}"/>
    <cellStyle name="Milliers 2 5 2 2" xfId="544" xr:uid="{00000000-0005-0000-0000-00008E000000}"/>
    <cellStyle name="Milliers 2 5 3" xfId="444" xr:uid="{00000000-0005-0000-0000-00008F000000}"/>
    <cellStyle name="Milliers 2 6" xfId="77" xr:uid="{00000000-0005-0000-0000-000090000000}"/>
    <cellStyle name="Milliers 2 6 2" xfId="306" xr:uid="{00000000-0005-0000-0000-000091000000}"/>
    <cellStyle name="Milliers 2 6 2 2" xfId="551" xr:uid="{00000000-0005-0000-0000-000092000000}"/>
    <cellStyle name="Milliers 2 6 3" xfId="451" xr:uid="{00000000-0005-0000-0000-000093000000}"/>
    <cellStyle name="Milliers 2 7" xfId="296" xr:uid="{00000000-0005-0000-0000-000094000000}"/>
    <cellStyle name="Milliers 2 7 2" xfId="541" xr:uid="{00000000-0005-0000-0000-000095000000}"/>
    <cellStyle name="Milliers 2 8" xfId="435" xr:uid="{00000000-0005-0000-0000-000096000000}"/>
    <cellStyle name="Milliers 2 8 2" xfId="639" xr:uid="{00000000-0005-0000-0000-000097000000}"/>
    <cellStyle name="Milliers 2 9" xfId="441" xr:uid="{00000000-0005-0000-0000-000098000000}"/>
    <cellStyle name="Milliers 3" xfId="37" xr:uid="{00000000-0005-0000-0000-000099000000}"/>
    <cellStyle name="Milliers 3 2" xfId="83" xr:uid="{00000000-0005-0000-0000-00009A000000}"/>
    <cellStyle name="Milliers 3 2 2" xfId="312" xr:uid="{00000000-0005-0000-0000-00009B000000}"/>
    <cellStyle name="Milliers 3 2 2 2" xfId="557" xr:uid="{00000000-0005-0000-0000-00009C000000}"/>
    <cellStyle name="Milliers 3 2 3" xfId="457" xr:uid="{00000000-0005-0000-0000-00009D000000}"/>
    <cellStyle name="Milliers 3 3" xfId="84" xr:uid="{00000000-0005-0000-0000-00009E000000}"/>
    <cellStyle name="Milliers 3 3 2" xfId="313" xr:uid="{00000000-0005-0000-0000-00009F000000}"/>
    <cellStyle name="Milliers 3 3 2 2" xfId="558" xr:uid="{00000000-0005-0000-0000-0000A0000000}"/>
    <cellStyle name="Milliers 3 3 3" xfId="458" xr:uid="{00000000-0005-0000-0000-0000A1000000}"/>
    <cellStyle name="Milliers 3 4" xfId="82" xr:uid="{00000000-0005-0000-0000-0000A2000000}"/>
    <cellStyle name="Milliers 3 4 2" xfId="311" xr:uid="{00000000-0005-0000-0000-0000A3000000}"/>
    <cellStyle name="Milliers 3 4 2 2" xfId="556" xr:uid="{00000000-0005-0000-0000-0000A4000000}"/>
    <cellStyle name="Milliers 3 4 3" xfId="456" xr:uid="{00000000-0005-0000-0000-0000A5000000}"/>
    <cellStyle name="Milliers 3 5" xfId="295" xr:uid="{00000000-0005-0000-0000-0000A6000000}"/>
    <cellStyle name="Milliers 3 5 2" xfId="540" xr:uid="{00000000-0005-0000-0000-0000A7000000}"/>
    <cellStyle name="Milliers 3 6" xfId="436" xr:uid="{00000000-0005-0000-0000-0000A8000000}"/>
    <cellStyle name="Milliers 3 6 2" xfId="640" xr:uid="{00000000-0005-0000-0000-0000A9000000}"/>
    <cellStyle name="Milliers 3 7" xfId="440" xr:uid="{00000000-0005-0000-0000-0000AA000000}"/>
    <cellStyle name="Milliers 4" xfId="85" xr:uid="{00000000-0005-0000-0000-0000AB000000}"/>
    <cellStyle name="Milliers 4 2" xfId="86" xr:uid="{00000000-0005-0000-0000-0000AC000000}"/>
    <cellStyle name="Milliers 4 2 2" xfId="315" xr:uid="{00000000-0005-0000-0000-0000AD000000}"/>
    <cellStyle name="Milliers 4 2 2 2" xfId="560" xr:uid="{00000000-0005-0000-0000-0000AE000000}"/>
    <cellStyle name="Milliers 4 2 3" xfId="460" xr:uid="{00000000-0005-0000-0000-0000AF000000}"/>
    <cellStyle name="Milliers 4 3" xfId="314" xr:uid="{00000000-0005-0000-0000-0000B0000000}"/>
    <cellStyle name="Milliers 4 3 2" xfId="559" xr:uid="{00000000-0005-0000-0000-0000B1000000}"/>
    <cellStyle name="Milliers 4 4" xfId="459" xr:uid="{00000000-0005-0000-0000-0000B2000000}"/>
    <cellStyle name="Milliers 5" xfId="87" xr:uid="{00000000-0005-0000-0000-0000B3000000}"/>
    <cellStyle name="Milliers 5 2" xfId="316" xr:uid="{00000000-0005-0000-0000-0000B4000000}"/>
    <cellStyle name="Milliers 5 2 2" xfId="561" xr:uid="{00000000-0005-0000-0000-0000B5000000}"/>
    <cellStyle name="Milliers 5 3" xfId="461" xr:uid="{00000000-0005-0000-0000-0000B6000000}"/>
    <cellStyle name="Milliers 6" xfId="88" xr:uid="{00000000-0005-0000-0000-0000B7000000}"/>
    <cellStyle name="Milliers 6 2" xfId="317" xr:uid="{00000000-0005-0000-0000-0000B8000000}"/>
    <cellStyle name="Milliers 6 2 2" xfId="562" xr:uid="{00000000-0005-0000-0000-0000B9000000}"/>
    <cellStyle name="Milliers 6 3" xfId="462" xr:uid="{00000000-0005-0000-0000-0000BA000000}"/>
    <cellStyle name="Milliers 7" xfId="89" xr:uid="{00000000-0005-0000-0000-0000BB000000}"/>
    <cellStyle name="Milliers 7 2" xfId="318" xr:uid="{00000000-0005-0000-0000-0000BC000000}"/>
    <cellStyle name="Milliers 7 2 2" xfId="563" xr:uid="{00000000-0005-0000-0000-0000BD000000}"/>
    <cellStyle name="Milliers 7 3" xfId="463" xr:uid="{00000000-0005-0000-0000-0000BE000000}"/>
    <cellStyle name="Milliers 8" xfId="90" xr:uid="{00000000-0005-0000-0000-0000BF000000}"/>
    <cellStyle name="Milliers 8 2" xfId="319" xr:uid="{00000000-0005-0000-0000-0000C0000000}"/>
    <cellStyle name="Milliers 8 2 2" xfId="564" xr:uid="{00000000-0005-0000-0000-0000C1000000}"/>
    <cellStyle name="Milliers 8 3" xfId="464" xr:uid="{00000000-0005-0000-0000-0000C2000000}"/>
    <cellStyle name="Milliers 9" xfId="91" xr:uid="{00000000-0005-0000-0000-0000C3000000}"/>
    <cellStyle name="Monétaire 2" xfId="92" xr:uid="{00000000-0005-0000-0000-0000C4000000}"/>
    <cellStyle name="Monétaire 2 2" xfId="320" xr:uid="{00000000-0005-0000-0000-0000C5000000}"/>
    <cellStyle name="Monétaire 2 2 2" xfId="565" xr:uid="{00000000-0005-0000-0000-0000C6000000}"/>
    <cellStyle name="Monétaire 2 3" xfId="465" xr:uid="{00000000-0005-0000-0000-0000C7000000}"/>
    <cellStyle name="Monétaire0" xfId="93" xr:uid="{00000000-0005-0000-0000-0000C8000000}"/>
    <cellStyle name="Motif" xfId="94" xr:uid="{00000000-0005-0000-0000-0000C9000000}"/>
    <cellStyle name="Neutre" xfId="400" builtinId="28" customBuiltin="1"/>
    <cellStyle name="Neutre 2" xfId="39" xr:uid="{00000000-0005-0000-0000-0000CB000000}"/>
    <cellStyle name="Normal" xfId="0" builtinId="0"/>
    <cellStyle name="Normal 10" xfId="95" xr:uid="{00000000-0005-0000-0000-0000CD000000}"/>
    <cellStyle name="Normal 11" xfId="96" xr:uid="{00000000-0005-0000-0000-0000CE000000}"/>
    <cellStyle name="Normal 11 2" xfId="97" xr:uid="{00000000-0005-0000-0000-0000CF000000}"/>
    <cellStyle name="Normal 12" xfId="98" xr:uid="{00000000-0005-0000-0000-0000D0000000}"/>
    <cellStyle name="Normal 13" xfId="99" xr:uid="{00000000-0005-0000-0000-0000D1000000}"/>
    <cellStyle name="Normal 14" xfId="100" xr:uid="{00000000-0005-0000-0000-0000D2000000}"/>
    <cellStyle name="Normal 15" xfId="101" xr:uid="{00000000-0005-0000-0000-0000D3000000}"/>
    <cellStyle name="Normal 16" xfId="102" xr:uid="{00000000-0005-0000-0000-0000D4000000}"/>
    <cellStyle name="Normal 17" xfId="103" xr:uid="{00000000-0005-0000-0000-0000D5000000}"/>
    <cellStyle name="Normal 18" xfId="104" xr:uid="{00000000-0005-0000-0000-0000D6000000}"/>
    <cellStyle name="Normal 19" xfId="105" xr:uid="{00000000-0005-0000-0000-0000D7000000}"/>
    <cellStyle name="Normal 2" xfId="40" xr:uid="{00000000-0005-0000-0000-0000D8000000}"/>
    <cellStyle name="Normal 2 10 10" xfId="107" xr:uid="{00000000-0005-0000-0000-0000D9000000}"/>
    <cellStyle name="Normal 2 2" xfId="108" xr:uid="{00000000-0005-0000-0000-0000DA000000}"/>
    <cellStyle name="Normal 2 2 2" xfId="109" xr:uid="{00000000-0005-0000-0000-0000DB000000}"/>
    <cellStyle name="Normal 2 2 2 2" xfId="110" xr:uid="{00000000-0005-0000-0000-0000DC000000}"/>
    <cellStyle name="Normal 2 2 3" xfId="111" xr:uid="{00000000-0005-0000-0000-0000DD000000}"/>
    <cellStyle name="Normal 2 2 4" xfId="112" xr:uid="{00000000-0005-0000-0000-0000DE000000}"/>
    <cellStyle name="Normal 2 3" xfId="113" xr:uid="{00000000-0005-0000-0000-0000DF000000}"/>
    <cellStyle name="Normal 2 3 2" xfId="114" xr:uid="{00000000-0005-0000-0000-0000E0000000}"/>
    <cellStyle name="Normal 2 4" xfId="115" xr:uid="{00000000-0005-0000-0000-0000E1000000}"/>
    <cellStyle name="Normal 2 5" xfId="116" xr:uid="{00000000-0005-0000-0000-0000E2000000}"/>
    <cellStyle name="Normal 2 6" xfId="117" xr:uid="{00000000-0005-0000-0000-0000E3000000}"/>
    <cellStyle name="Normal 2 7" xfId="118" xr:uid="{00000000-0005-0000-0000-0000E4000000}"/>
    <cellStyle name="Normal 2 8" xfId="106" xr:uid="{00000000-0005-0000-0000-0000E5000000}"/>
    <cellStyle name="Normal 20" xfId="119" xr:uid="{00000000-0005-0000-0000-0000E6000000}"/>
    <cellStyle name="Normal 21" xfId="120" xr:uid="{00000000-0005-0000-0000-0000E7000000}"/>
    <cellStyle name="Normal 22" xfId="121" xr:uid="{00000000-0005-0000-0000-0000E8000000}"/>
    <cellStyle name="Normal 23" xfId="122" xr:uid="{00000000-0005-0000-0000-0000E9000000}"/>
    <cellStyle name="Normal 24" xfId="123" xr:uid="{00000000-0005-0000-0000-0000EA000000}"/>
    <cellStyle name="Normal 25" xfId="124" xr:uid="{00000000-0005-0000-0000-0000EB000000}"/>
    <cellStyle name="Normal 26" xfId="125" xr:uid="{00000000-0005-0000-0000-0000EC000000}"/>
    <cellStyle name="Normal 27" xfId="126" xr:uid="{00000000-0005-0000-0000-0000ED000000}"/>
    <cellStyle name="Normal 28" xfId="127" xr:uid="{00000000-0005-0000-0000-0000EE000000}"/>
    <cellStyle name="Normal 29" xfId="128" xr:uid="{00000000-0005-0000-0000-0000EF000000}"/>
    <cellStyle name="Normal 3" xfId="5" xr:uid="{00000000-0005-0000-0000-0000F0000000}"/>
    <cellStyle name="Normal 3 2" xfId="130" xr:uid="{00000000-0005-0000-0000-0000F1000000}"/>
    <cellStyle name="Normal 3 2 2" xfId="131" xr:uid="{00000000-0005-0000-0000-0000F2000000}"/>
    <cellStyle name="Normal 3 3" xfId="132" xr:uid="{00000000-0005-0000-0000-0000F3000000}"/>
    <cellStyle name="Normal 3 3 2" xfId="133" xr:uid="{00000000-0005-0000-0000-0000F4000000}"/>
    <cellStyle name="Normal 3 3 2 2" xfId="134" xr:uid="{00000000-0005-0000-0000-0000F5000000}"/>
    <cellStyle name="Normal 3 3 2 2 2" xfId="135" xr:uid="{00000000-0005-0000-0000-0000F6000000}"/>
    <cellStyle name="Normal 3 4" xfId="136" xr:uid="{00000000-0005-0000-0000-0000F7000000}"/>
    <cellStyle name="Normal 3 4 2" xfId="137" xr:uid="{00000000-0005-0000-0000-0000F8000000}"/>
    <cellStyle name="Normal 3 5" xfId="138" xr:uid="{00000000-0005-0000-0000-0000F9000000}"/>
    <cellStyle name="Normal 3 6" xfId="139" xr:uid="{00000000-0005-0000-0000-0000FA000000}"/>
    <cellStyle name="Normal 3 7" xfId="129" xr:uid="{00000000-0005-0000-0000-0000FB000000}"/>
    <cellStyle name="Normal 30" xfId="140" xr:uid="{00000000-0005-0000-0000-0000FC000000}"/>
    <cellStyle name="Normal 31" xfId="141" xr:uid="{00000000-0005-0000-0000-0000FD000000}"/>
    <cellStyle name="Normal 32" xfId="142" xr:uid="{00000000-0005-0000-0000-0000FE000000}"/>
    <cellStyle name="Normal 33" xfId="143" xr:uid="{00000000-0005-0000-0000-0000FF000000}"/>
    <cellStyle name="Normal 34" xfId="144" xr:uid="{00000000-0005-0000-0000-000000010000}"/>
    <cellStyle name="Normal 38" xfId="145" xr:uid="{00000000-0005-0000-0000-000001010000}"/>
    <cellStyle name="Normal 4" xfId="146" xr:uid="{00000000-0005-0000-0000-000002010000}"/>
    <cellStyle name="Normal 4 2" xfId="147" xr:uid="{00000000-0005-0000-0000-000003010000}"/>
    <cellStyle name="Normal 4 3" xfId="148" xr:uid="{00000000-0005-0000-0000-000004010000}"/>
    <cellStyle name="Normal 4 4" xfId="149" xr:uid="{00000000-0005-0000-0000-000005010000}"/>
    <cellStyle name="Normal 4 5" xfId="150" xr:uid="{00000000-0005-0000-0000-000006010000}"/>
    <cellStyle name="Normal 4 6" xfId="151" xr:uid="{00000000-0005-0000-0000-000007010000}"/>
    <cellStyle name="Normal 49" xfId="152" xr:uid="{00000000-0005-0000-0000-000008010000}"/>
    <cellStyle name="Normal 5" xfId="153" xr:uid="{00000000-0005-0000-0000-000009010000}"/>
    <cellStyle name="Normal 5 2" xfId="154" xr:uid="{00000000-0005-0000-0000-00000A010000}"/>
    <cellStyle name="Normal 5 3" xfId="155" xr:uid="{00000000-0005-0000-0000-00000B010000}"/>
    <cellStyle name="Normal 5 4" xfId="156" xr:uid="{00000000-0005-0000-0000-00000C010000}"/>
    <cellStyle name="Normal 5 5" xfId="157" xr:uid="{00000000-0005-0000-0000-00000D010000}"/>
    <cellStyle name="Normal 6" xfId="158" xr:uid="{00000000-0005-0000-0000-00000E010000}"/>
    <cellStyle name="Normal 6 2" xfId="159" xr:uid="{00000000-0005-0000-0000-00000F010000}"/>
    <cellStyle name="Normal 7" xfId="160" xr:uid="{00000000-0005-0000-0000-000010010000}"/>
    <cellStyle name="Normal 7 2" xfId="161" xr:uid="{00000000-0005-0000-0000-000011010000}"/>
    <cellStyle name="Normal 7 3" xfId="162" xr:uid="{00000000-0005-0000-0000-000012010000}"/>
    <cellStyle name="Normal 8" xfId="163" xr:uid="{00000000-0005-0000-0000-000013010000}"/>
    <cellStyle name="Normal 8 2" xfId="164" xr:uid="{00000000-0005-0000-0000-000014010000}"/>
    <cellStyle name="Normal 9" xfId="165" xr:uid="{00000000-0005-0000-0000-000015010000}"/>
    <cellStyle name="Normal 9 2" xfId="166" xr:uid="{00000000-0005-0000-0000-000016010000}"/>
    <cellStyle name="Note" xfId="407" builtinId="10" customBuiltin="1"/>
    <cellStyle name="note 2" xfId="167" xr:uid="{00000000-0005-0000-0000-000018010000}"/>
    <cellStyle name="notice_theme" xfId="168" xr:uid="{00000000-0005-0000-0000-000019010000}"/>
    <cellStyle name="num_note" xfId="169" xr:uid="{00000000-0005-0000-0000-00001A010000}"/>
    <cellStyle name="Percent 2" xfId="170" xr:uid="{00000000-0005-0000-0000-00001B010000}"/>
    <cellStyle name="Percent 2 2" xfId="171" xr:uid="{00000000-0005-0000-0000-00001C010000}"/>
    <cellStyle name="Percent 3" xfId="172" xr:uid="{00000000-0005-0000-0000-00001D010000}"/>
    <cellStyle name="Percent 4" xfId="173" xr:uid="{00000000-0005-0000-0000-00001E010000}"/>
    <cellStyle name="Percent 5" xfId="174" xr:uid="{00000000-0005-0000-0000-00001F010000}"/>
    <cellStyle name="Pourcentage" xfId="1" builtinId="5"/>
    <cellStyle name="Pourcentage 10" xfId="175" xr:uid="{00000000-0005-0000-0000-000021010000}"/>
    <cellStyle name="Pourcentage 11" xfId="176" xr:uid="{00000000-0005-0000-0000-000022010000}"/>
    <cellStyle name="Pourcentage 12" xfId="292" xr:uid="{00000000-0005-0000-0000-000023010000}"/>
    <cellStyle name="Pourcentage 2" xfId="3" xr:uid="{00000000-0005-0000-0000-000024010000}"/>
    <cellStyle name="Pourcentage 2 2" xfId="178" xr:uid="{00000000-0005-0000-0000-000025010000}"/>
    <cellStyle name="Pourcentage 2 2 2" xfId="179" xr:uid="{00000000-0005-0000-0000-000026010000}"/>
    <cellStyle name="Pourcentage 2 2 2 2" xfId="180" xr:uid="{00000000-0005-0000-0000-000027010000}"/>
    <cellStyle name="Pourcentage 2 2 2 2 2" xfId="181" xr:uid="{00000000-0005-0000-0000-000028010000}"/>
    <cellStyle name="Pourcentage 2 3" xfId="182" xr:uid="{00000000-0005-0000-0000-000029010000}"/>
    <cellStyle name="Pourcentage 2 4" xfId="183" xr:uid="{00000000-0005-0000-0000-00002A010000}"/>
    <cellStyle name="Pourcentage 2 5" xfId="184" xr:uid="{00000000-0005-0000-0000-00002B010000}"/>
    <cellStyle name="Pourcentage 2 6" xfId="185" xr:uid="{00000000-0005-0000-0000-00002C010000}"/>
    <cellStyle name="Pourcentage 2 7" xfId="177" xr:uid="{00000000-0005-0000-0000-00002D010000}"/>
    <cellStyle name="Pourcentage 3" xfId="186" xr:uid="{00000000-0005-0000-0000-00002E010000}"/>
    <cellStyle name="Pourcentage 3 2" xfId="187" xr:uid="{00000000-0005-0000-0000-00002F010000}"/>
    <cellStyle name="Pourcentage 3 2 2" xfId="188" xr:uid="{00000000-0005-0000-0000-000030010000}"/>
    <cellStyle name="Pourcentage 4" xfId="189" xr:uid="{00000000-0005-0000-0000-000031010000}"/>
    <cellStyle name="Pourcentage 5" xfId="190" xr:uid="{00000000-0005-0000-0000-000032010000}"/>
    <cellStyle name="Pourcentage 6" xfId="191" xr:uid="{00000000-0005-0000-0000-000033010000}"/>
    <cellStyle name="Pourcentage 7" xfId="192" xr:uid="{00000000-0005-0000-0000-000034010000}"/>
    <cellStyle name="Pourcentage 8" xfId="193" xr:uid="{00000000-0005-0000-0000-000035010000}"/>
    <cellStyle name="Pourcentage 9" xfId="194" xr:uid="{00000000-0005-0000-0000-000036010000}"/>
    <cellStyle name="SAPBEXaggData" xfId="195" xr:uid="{00000000-0005-0000-0000-000037010000}"/>
    <cellStyle name="SAPBEXaggData 2" xfId="321" xr:uid="{00000000-0005-0000-0000-000038010000}"/>
    <cellStyle name="SAPBEXaggData 2 2" xfId="566" xr:uid="{00000000-0005-0000-0000-000039010000}"/>
    <cellStyle name="SAPBEXaggData 2 3" xfId="648" xr:uid="{00000000-0005-0000-0000-00003A010000}"/>
    <cellStyle name="SAPBEXaggData 3" xfId="466" xr:uid="{00000000-0005-0000-0000-00003B010000}"/>
    <cellStyle name="SAPBEXaggDataEmph" xfId="196" xr:uid="{00000000-0005-0000-0000-00003C010000}"/>
    <cellStyle name="SAPBEXaggDataEmph 2" xfId="322" xr:uid="{00000000-0005-0000-0000-00003D010000}"/>
    <cellStyle name="SAPBEXaggDataEmph 2 2" xfId="567" xr:uid="{00000000-0005-0000-0000-00003E010000}"/>
    <cellStyle name="SAPBEXaggDataEmph 2 3" xfId="649" xr:uid="{00000000-0005-0000-0000-00003F010000}"/>
    <cellStyle name="SAPBEXaggDataEmph 3" xfId="467" xr:uid="{00000000-0005-0000-0000-000040010000}"/>
    <cellStyle name="SAPBEXaggItem" xfId="197" xr:uid="{00000000-0005-0000-0000-000041010000}"/>
    <cellStyle name="SAPBEXaggItem 2" xfId="323" xr:uid="{00000000-0005-0000-0000-000042010000}"/>
    <cellStyle name="SAPBEXaggItem 2 2" xfId="568" xr:uid="{00000000-0005-0000-0000-000043010000}"/>
    <cellStyle name="SAPBEXaggItem 2 3" xfId="650" xr:uid="{00000000-0005-0000-0000-000044010000}"/>
    <cellStyle name="SAPBEXaggItem 3" xfId="468" xr:uid="{00000000-0005-0000-0000-000045010000}"/>
    <cellStyle name="SAPBEXaggItemX" xfId="198" xr:uid="{00000000-0005-0000-0000-000046010000}"/>
    <cellStyle name="SAPBEXaggItemX 2" xfId="324" xr:uid="{00000000-0005-0000-0000-000047010000}"/>
    <cellStyle name="SAPBEXaggItemX 2 2" xfId="569" xr:uid="{00000000-0005-0000-0000-000048010000}"/>
    <cellStyle name="SAPBEXaggItemX 2 3" xfId="651" xr:uid="{00000000-0005-0000-0000-000049010000}"/>
    <cellStyle name="SAPBEXaggItemX 3" xfId="469" xr:uid="{00000000-0005-0000-0000-00004A010000}"/>
    <cellStyle name="SAPBEXchaText" xfId="199" xr:uid="{00000000-0005-0000-0000-00004B010000}"/>
    <cellStyle name="SAPBEXchaText 2" xfId="200" xr:uid="{00000000-0005-0000-0000-00004C010000}"/>
    <cellStyle name="SAPBEXchaText 2 2" xfId="326" xr:uid="{00000000-0005-0000-0000-00004D010000}"/>
    <cellStyle name="SAPBEXchaText 2 2 2" xfId="571" xr:uid="{00000000-0005-0000-0000-00004E010000}"/>
    <cellStyle name="SAPBEXchaText 2 2 3" xfId="653" xr:uid="{00000000-0005-0000-0000-00004F010000}"/>
    <cellStyle name="SAPBEXchaText 2 3" xfId="471" xr:uid="{00000000-0005-0000-0000-000050010000}"/>
    <cellStyle name="SAPBEXchaText 3" xfId="201" xr:uid="{00000000-0005-0000-0000-000051010000}"/>
    <cellStyle name="SAPBEXchaText 3 2" xfId="327" xr:uid="{00000000-0005-0000-0000-000052010000}"/>
    <cellStyle name="SAPBEXchaText 3 2 2" xfId="572" xr:uid="{00000000-0005-0000-0000-000053010000}"/>
    <cellStyle name="SAPBEXchaText 3 2 3" xfId="654" xr:uid="{00000000-0005-0000-0000-000054010000}"/>
    <cellStyle name="SAPBEXchaText 3 3" xfId="472" xr:uid="{00000000-0005-0000-0000-000055010000}"/>
    <cellStyle name="SAPBEXchaText 4" xfId="202" xr:uid="{00000000-0005-0000-0000-000056010000}"/>
    <cellStyle name="SAPBEXchaText 4 2" xfId="328" xr:uid="{00000000-0005-0000-0000-000057010000}"/>
    <cellStyle name="SAPBEXchaText 4 2 2" xfId="573" xr:uid="{00000000-0005-0000-0000-000058010000}"/>
    <cellStyle name="SAPBEXchaText 4 2 3" xfId="655" xr:uid="{00000000-0005-0000-0000-000059010000}"/>
    <cellStyle name="SAPBEXchaText 4 3" xfId="473" xr:uid="{00000000-0005-0000-0000-00005A010000}"/>
    <cellStyle name="SAPBEXchaText 5" xfId="203" xr:uid="{00000000-0005-0000-0000-00005B010000}"/>
    <cellStyle name="SAPBEXchaText 5 2" xfId="329" xr:uid="{00000000-0005-0000-0000-00005C010000}"/>
    <cellStyle name="SAPBEXchaText 5 2 2" xfId="574" xr:uid="{00000000-0005-0000-0000-00005D010000}"/>
    <cellStyle name="SAPBEXchaText 5 2 3" xfId="656" xr:uid="{00000000-0005-0000-0000-00005E010000}"/>
    <cellStyle name="SAPBEXchaText 5 3" xfId="474" xr:uid="{00000000-0005-0000-0000-00005F010000}"/>
    <cellStyle name="SAPBEXchaText 6" xfId="325" xr:uid="{00000000-0005-0000-0000-000060010000}"/>
    <cellStyle name="SAPBEXchaText 6 2" xfId="570" xr:uid="{00000000-0005-0000-0000-000061010000}"/>
    <cellStyle name="SAPBEXchaText 6 3" xfId="652" xr:uid="{00000000-0005-0000-0000-000062010000}"/>
    <cellStyle name="SAPBEXchaText 7" xfId="470" xr:uid="{00000000-0005-0000-0000-000063010000}"/>
    <cellStyle name="SAPBEXexcBad7" xfId="204" xr:uid="{00000000-0005-0000-0000-000064010000}"/>
    <cellStyle name="SAPBEXexcBad7 2" xfId="330" xr:uid="{00000000-0005-0000-0000-000065010000}"/>
    <cellStyle name="SAPBEXexcBad7 2 2" xfId="575" xr:uid="{00000000-0005-0000-0000-000066010000}"/>
    <cellStyle name="SAPBEXexcBad7 2 3" xfId="657" xr:uid="{00000000-0005-0000-0000-000067010000}"/>
    <cellStyle name="SAPBEXexcBad7 3" xfId="475" xr:uid="{00000000-0005-0000-0000-000068010000}"/>
    <cellStyle name="SAPBEXexcBad8" xfId="205" xr:uid="{00000000-0005-0000-0000-000069010000}"/>
    <cellStyle name="SAPBEXexcBad8 2" xfId="331" xr:uid="{00000000-0005-0000-0000-00006A010000}"/>
    <cellStyle name="SAPBEXexcBad8 2 2" xfId="576" xr:uid="{00000000-0005-0000-0000-00006B010000}"/>
    <cellStyle name="SAPBEXexcBad8 2 3" xfId="658" xr:uid="{00000000-0005-0000-0000-00006C010000}"/>
    <cellStyle name="SAPBEXexcBad8 3" xfId="476" xr:uid="{00000000-0005-0000-0000-00006D010000}"/>
    <cellStyle name="SAPBEXexcBad9" xfId="206" xr:uid="{00000000-0005-0000-0000-00006E010000}"/>
    <cellStyle name="SAPBEXexcBad9 2" xfId="332" xr:uid="{00000000-0005-0000-0000-00006F010000}"/>
    <cellStyle name="SAPBEXexcBad9 2 2" xfId="577" xr:uid="{00000000-0005-0000-0000-000070010000}"/>
    <cellStyle name="SAPBEXexcBad9 2 3" xfId="659" xr:uid="{00000000-0005-0000-0000-000071010000}"/>
    <cellStyle name="SAPBEXexcBad9 3" xfId="477" xr:uid="{00000000-0005-0000-0000-000072010000}"/>
    <cellStyle name="SAPBEXexcCritical4" xfId="207" xr:uid="{00000000-0005-0000-0000-000073010000}"/>
    <cellStyle name="SAPBEXexcCritical4 2" xfId="333" xr:uid="{00000000-0005-0000-0000-000074010000}"/>
    <cellStyle name="SAPBEXexcCritical4 2 2" xfId="578" xr:uid="{00000000-0005-0000-0000-000075010000}"/>
    <cellStyle name="SAPBEXexcCritical4 2 3" xfId="660" xr:uid="{00000000-0005-0000-0000-000076010000}"/>
    <cellStyle name="SAPBEXexcCritical4 3" xfId="478" xr:uid="{00000000-0005-0000-0000-000077010000}"/>
    <cellStyle name="SAPBEXexcCritical5" xfId="208" xr:uid="{00000000-0005-0000-0000-000078010000}"/>
    <cellStyle name="SAPBEXexcCritical5 2" xfId="334" xr:uid="{00000000-0005-0000-0000-000079010000}"/>
    <cellStyle name="SAPBEXexcCritical5 2 2" xfId="579" xr:uid="{00000000-0005-0000-0000-00007A010000}"/>
    <cellStyle name="SAPBEXexcCritical5 2 3" xfId="661" xr:uid="{00000000-0005-0000-0000-00007B010000}"/>
    <cellStyle name="SAPBEXexcCritical5 3" xfId="479" xr:uid="{00000000-0005-0000-0000-00007C010000}"/>
    <cellStyle name="SAPBEXexcCritical6" xfId="209" xr:uid="{00000000-0005-0000-0000-00007D010000}"/>
    <cellStyle name="SAPBEXexcCritical6 2" xfId="335" xr:uid="{00000000-0005-0000-0000-00007E010000}"/>
    <cellStyle name="SAPBEXexcCritical6 2 2" xfId="580" xr:uid="{00000000-0005-0000-0000-00007F010000}"/>
    <cellStyle name="SAPBEXexcCritical6 2 3" xfId="662" xr:uid="{00000000-0005-0000-0000-000080010000}"/>
    <cellStyle name="SAPBEXexcCritical6 3" xfId="480" xr:uid="{00000000-0005-0000-0000-000081010000}"/>
    <cellStyle name="SAPBEXexcGood1" xfId="210" xr:uid="{00000000-0005-0000-0000-000082010000}"/>
    <cellStyle name="SAPBEXexcGood1 2" xfId="336" xr:uid="{00000000-0005-0000-0000-000083010000}"/>
    <cellStyle name="SAPBEXexcGood1 2 2" xfId="581" xr:uid="{00000000-0005-0000-0000-000084010000}"/>
    <cellStyle name="SAPBEXexcGood1 2 3" xfId="663" xr:uid="{00000000-0005-0000-0000-000085010000}"/>
    <cellStyle name="SAPBEXexcGood1 3" xfId="481" xr:uid="{00000000-0005-0000-0000-000086010000}"/>
    <cellStyle name="SAPBEXexcGood2" xfId="211" xr:uid="{00000000-0005-0000-0000-000087010000}"/>
    <cellStyle name="SAPBEXexcGood2 2" xfId="337" xr:uid="{00000000-0005-0000-0000-000088010000}"/>
    <cellStyle name="SAPBEXexcGood2 2 2" xfId="582" xr:uid="{00000000-0005-0000-0000-000089010000}"/>
    <cellStyle name="SAPBEXexcGood2 2 3" xfId="664" xr:uid="{00000000-0005-0000-0000-00008A010000}"/>
    <cellStyle name="SAPBEXexcGood2 3" xfId="482" xr:uid="{00000000-0005-0000-0000-00008B010000}"/>
    <cellStyle name="SAPBEXexcGood3" xfId="212" xr:uid="{00000000-0005-0000-0000-00008C010000}"/>
    <cellStyle name="SAPBEXexcGood3 2" xfId="338" xr:uid="{00000000-0005-0000-0000-00008D010000}"/>
    <cellStyle name="SAPBEXexcGood3 2 2" xfId="583" xr:uid="{00000000-0005-0000-0000-00008E010000}"/>
    <cellStyle name="SAPBEXexcGood3 2 3" xfId="665" xr:uid="{00000000-0005-0000-0000-00008F010000}"/>
    <cellStyle name="SAPBEXexcGood3 3" xfId="483" xr:uid="{00000000-0005-0000-0000-000090010000}"/>
    <cellStyle name="SAPBEXfilterDrill" xfId="213" xr:uid="{00000000-0005-0000-0000-000091010000}"/>
    <cellStyle name="SAPBEXfilterDrill 2" xfId="214" xr:uid="{00000000-0005-0000-0000-000092010000}"/>
    <cellStyle name="SAPBEXfilterDrill 2 2" xfId="340" xr:uid="{00000000-0005-0000-0000-000093010000}"/>
    <cellStyle name="SAPBEXfilterDrill 2 2 2" xfId="585" xr:uid="{00000000-0005-0000-0000-000094010000}"/>
    <cellStyle name="SAPBEXfilterDrill 2 2 3" xfId="667" xr:uid="{00000000-0005-0000-0000-000095010000}"/>
    <cellStyle name="SAPBEXfilterDrill 2 3" xfId="485" xr:uid="{00000000-0005-0000-0000-000096010000}"/>
    <cellStyle name="SAPBEXfilterDrill 3" xfId="215" xr:uid="{00000000-0005-0000-0000-000097010000}"/>
    <cellStyle name="SAPBEXfilterDrill 3 2" xfId="341" xr:uid="{00000000-0005-0000-0000-000098010000}"/>
    <cellStyle name="SAPBEXfilterDrill 3 2 2" xfId="586" xr:uid="{00000000-0005-0000-0000-000099010000}"/>
    <cellStyle name="SAPBEXfilterDrill 3 2 3" xfId="668" xr:uid="{00000000-0005-0000-0000-00009A010000}"/>
    <cellStyle name="SAPBEXfilterDrill 3 3" xfId="486" xr:uid="{00000000-0005-0000-0000-00009B010000}"/>
    <cellStyle name="SAPBEXfilterDrill 4" xfId="216" xr:uid="{00000000-0005-0000-0000-00009C010000}"/>
    <cellStyle name="SAPBEXfilterDrill 4 2" xfId="342" xr:uid="{00000000-0005-0000-0000-00009D010000}"/>
    <cellStyle name="SAPBEXfilterDrill 4 2 2" xfId="587" xr:uid="{00000000-0005-0000-0000-00009E010000}"/>
    <cellStyle name="SAPBEXfilterDrill 4 2 3" xfId="669" xr:uid="{00000000-0005-0000-0000-00009F010000}"/>
    <cellStyle name="SAPBEXfilterDrill 4 3" xfId="487" xr:uid="{00000000-0005-0000-0000-0000A0010000}"/>
    <cellStyle name="SAPBEXfilterDrill 5" xfId="339" xr:uid="{00000000-0005-0000-0000-0000A1010000}"/>
    <cellStyle name="SAPBEXfilterDrill 5 2" xfId="584" xr:uid="{00000000-0005-0000-0000-0000A2010000}"/>
    <cellStyle name="SAPBEXfilterDrill 5 3" xfId="666" xr:uid="{00000000-0005-0000-0000-0000A3010000}"/>
    <cellStyle name="SAPBEXfilterDrill 6" xfId="484" xr:uid="{00000000-0005-0000-0000-0000A4010000}"/>
    <cellStyle name="SAPBEXfilterItem" xfId="217" xr:uid="{00000000-0005-0000-0000-0000A5010000}"/>
    <cellStyle name="SAPBEXfilterItem 2" xfId="218" xr:uid="{00000000-0005-0000-0000-0000A6010000}"/>
    <cellStyle name="SAPBEXfilterItem 2 2" xfId="344" xr:uid="{00000000-0005-0000-0000-0000A7010000}"/>
    <cellStyle name="SAPBEXfilterItem 2 2 2" xfId="589" xr:uid="{00000000-0005-0000-0000-0000A8010000}"/>
    <cellStyle name="SAPBEXfilterItem 2 2 3" xfId="671" xr:uid="{00000000-0005-0000-0000-0000A9010000}"/>
    <cellStyle name="SAPBEXfilterItem 2 3" xfId="489" xr:uid="{00000000-0005-0000-0000-0000AA010000}"/>
    <cellStyle name="SAPBEXfilterItem 3" xfId="219" xr:uid="{00000000-0005-0000-0000-0000AB010000}"/>
    <cellStyle name="SAPBEXfilterItem 3 2" xfId="345" xr:uid="{00000000-0005-0000-0000-0000AC010000}"/>
    <cellStyle name="SAPBEXfilterItem 3 2 2" xfId="590" xr:uid="{00000000-0005-0000-0000-0000AD010000}"/>
    <cellStyle name="SAPBEXfilterItem 3 2 3" xfId="672" xr:uid="{00000000-0005-0000-0000-0000AE010000}"/>
    <cellStyle name="SAPBEXfilterItem 3 3" xfId="490" xr:uid="{00000000-0005-0000-0000-0000AF010000}"/>
    <cellStyle name="SAPBEXfilterItem 4" xfId="220" xr:uid="{00000000-0005-0000-0000-0000B0010000}"/>
    <cellStyle name="SAPBEXfilterItem 4 2" xfId="346" xr:uid="{00000000-0005-0000-0000-0000B1010000}"/>
    <cellStyle name="SAPBEXfilterItem 4 2 2" xfId="591" xr:uid="{00000000-0005-0000-0000-0000B2010000}"/>
    <cellStyle name="SAPBEXfilterItem 4 2 3" xfId="673" xr:uid="{00000000-0005-0000-0000-0000B3010000}"/>
    <cellStyle name="SAPBEXfilterItem 4 3" xfId="491" xr:uid="{00000000-0005-0000-0000-0000B4010000}"/>
    <cellStyle name="SAPBEXfilterItem 5" xfId="343" xr:uid="{00000000-0005-0000-0000-0000B5010000}"/>
    <cellStyle name="SAPBEXfilterItem 5 2" xfId="588" xr:uid="{00000000-0005-0000-0000-0000B6010000}"/>
    <cellStyle name="SAPBEXfilterItem 5 3" xfId="670" xr:uid="{00000000-0005-0000-0000-0000B7010000}"/>
    <cellStyle name="SAPBEXfilterItem 6" xfId="488" xr:uid="{00000000-0005-0000-0000-0000B8010000}"/>
    <cellStyle name="SAPBEXfilterText" xfId="221" xr:uid="{00000000-0005-0000-0000-0000B9010000}"/>
    <cellStyle name="SAPBEXformats" xfId="222" xr:uid="{00000000-0005-0000-0000-0000BA010000}"/>
    <cellStyle name="SAPBEXformats 2" xfId="223" xr:uid="{00000000-0005-0000-0000-0000BB010000}"/>
    <cellStyle name="SAPBEXformats 2 2" xfId="348" xr:uid="{00000000-0005-0000-0000-0000BC010000}"/>
    <cellStyle name="SAPBEXformats 2 2 2" xfId="593" xr:uid="{00000000-0005-0000-0000-0000BD010000}"/>
    <cellStyle name="SAPBEXformats 2 2 3" xfId="675" xr:uid="{00000000-0005-0000-0000-0000BE010000}"/>
    <cellStyle name="SAPBEXformats 2 3" xfId="493" xr:uid="{00000000-0005-0000-0000-0000BF010000}"/>
    <cellStyle name="SAPBEXformats 3" xfId="224" xr:uid="{00000000-0005-0000-0000-0000C0010000}"/>
    <cellStyle name="SAPBEXformats 3 2" xfId="349" xr:uid="{00000000-0005-0000-0000-0000C1010000}"/>
    <cellStyle name="SAPBEXformats 3 2 2" xfId="594" xr:uid="{00000000-0005-0000-0000-0000C2010000}"/>
    <cellStyle name="SAPBEXformats 3 2 3" xfId="676" xr:uid="{00000000-0005-0000-0000-0000C3010000}"/>
    <cellStyle name="SAPBEXformats 3 3" xfId="494" xr:uid="{00000000-0005-0000-0000-0000C4010000}"/>
    <cellStyle name="SAPBEXformats 4" xfId="225" xr:uid="{00000000-0005-0000-0000-0000C5010000}"/>
    <cellStyle name="SAPBEXformats 4 2" xfId="350" xr:uid="{00000000-0005-0000-0000-0000C6010000}"/>
    <cellStyle name="SAPBEXformats 4 2 2" xfId="595" xr:uid="{00000000-0005-0000-0000-0000C7010000}"/>
    <cellStyle name="SAPBEXformats 4 2 3" xfId="677" xr:uid="{00000000-0005-0000-0000-0000C8010000}"/>
    <cellStyle name="SAPBEXformats 4 3" xfId="495" xr:uid="{00000000-0005-0000-0000-0000C9010000}"/>
    <cellStyle name="SAPBEXformats 5" xfId="226" xr:uid="{00000000-0005-0000-0000-0000CA010000}"/>
    <cellStyle name="SAPBEXformats 5 2" xfId="351" xr:uid="{00000000-0005-0000-0000-0000CB010000}"/>
    <cellStyle name="SAPBEXformats 5 2 2" xfId="596" xr:uid="{00000000-0005-0000-0000-0000CC010000}"/>
    <cellStyle name="SAPBEXformats 5 2 3" xfId="678" xr:uid="{00000000-0005-0000-0000-0000CD010000}"/>
    <cellStyle name="SAPBEXformats 5 3" xfId="496" xr:uid="{00000000-0005-0000-0000-0000CE010000}"/>
    <cellStyle name="SAPBEXformats 6" xfId="227" xr:uid="{00000000-0005-0000-0000-0000CF010000}"/>
    <cellStyle name="SAPBEXformats 6 2" xfId="352" xr:uid="{00000000-0005-0000-0000-0000D0010000}"/>
    <cellStyle name="SAPBEXformats 6 2 2" xfId="597" xr:uid="{00000000-0005-0000-0000-0000D1010000}"/>
    <cellStyle name="SAPBEXformats 6 2 3" xfId="679" xr:uid="{00000000-0005-0000-0000-0000D2010000}"/>
    <cellStyle name="SAPBEXformats 6 3" xfId="497" xr:uid="{00000000-0005-0000-0000-0000D3010000}"/>
    <cellStyle name="SAPBEXformats 7" xfId="347" xr:uid="{00000000-0005-0000-0000-0000D4010000}"/>
    <cellStyle name="SAPBEXformats 7 2" xfId="592" xr:uid="{00000000-0005-0000-0000-0000D5010000}"/>
    <cellStyle name="SAPBEXformats 7 3" xfId="674" xr:uid="{00000000-0005-0000-0000-0000D6010000}"/>
    <cellStyle name="SAPBEXformats 8" xfId="492" xr:uid="{00000000-0005-0000-0000-0000D7010000}"/>
    <cellStyle name="SAPBEXheaderItem" xfId="228" xr:uid="{00000000-0005-0000-0000-0000D8010000}"/>
    <cellStyle name="SAPBEXheaderItem 2" xfId="353" xr:uid="{00000000-0005-0000-0000-0000D9010000}"/>
    <cellStyle name="SAPBEXheaderItem 2 2" xfId="598" xr:uid="{00000000-0005-0000-0000-0000DA010000}"/>
    <cellStyle name="SAPBEXheaderItem 2 3" xfId="680" xr:uid="{00000000-0005-0000-0000-0000DB010000}"/>
    <cellStyle name="SAPBEXheaderItem 3" xfId="498" xr:uid="{00000000-0005-0000-0000-0000DC010000}"/>
    <cellStyle name="SAPBEXheaderText" xfId="229" xr:uid="{00000000-0005-0000-0000-0000DD010000}"/>
    <cellStyle name="SAPBEXheaderText 2" xfId="354" xr:uid="{00000000-0005-0000-0000-0000DE010000}"/>
    <cellStyle name="SAPBEXheaderText 2 2" xfId="599" xr:uid="{00000000-0005-0000-0000-0000DF010000}"/>
    <cellStyle name="SAPBEXheaderText 2 3" xfId="681" xr:uid="{00000000-0005-0000-0000-0000E0010000}"/>
    <cellStyle name="SAPBEXheaderText 3" xfId="499" xr:uid="{00000000-0005-0000-0000-0000E1010000}"/>
    <cellStyle name="SAPBEXHLevel0" xfId="230" xr:uid="{00000000-0005-0000-0000-0000E2010000}"/>
    <cellStyle name="SAPBEXHLevel0 2" xfId="231" xr:uid="{00000000-0005-0000-0000-0000E3010000}"/>
    <cellStyle name="SAPBEXHLevel0 2 2" xfId="356" xr:uid="{00000000-0005-0000-0000-0000E4010000}"/>
    <cellStyle name="SAPBEXHLevel0 2 2 2" xfId="601" xr:uid="{00000000-0005-0000-0000-0000E5010000}"/>
    <cellStyle name="SAPBEXHLevel0 2 2 3" xfId="683" xr:uid="{00000000-0005-0000-0000-0000E6010000}"/>
    <cellStyle name="SAPBEXHLevel0 2 3" xfId="501" xr:uid="{00000000-0005-0000-0000-0000E7010000}"/>
    <cellStyle name="SAPBEXHLevel0 3" xfId="232" xr:uid="{00000000-0005-0000-0000-0000E8010000}"/>
    <cellStyle name="SAPBEXHLevel0 3 2" xfId="357" xr:uid="{00000000-0005-0000-0000-0000E9010000}"/>
    <cellStyle name="SAPBEXHLevel0 3 2 2" xfId="602" xr:uid="{00000000-0005-0000-0000-0000EA010000}"/>
    <cellStyle name="SAPBEXHLevel0 3 2 3" xfId="684" xr:uid="{00000000-0005-0000-0000-0000EB010000}"/>
    <cellStyle name="SAPBEXHLevel0 3 3" xfId="502" xr:uid="{00000000-0005-0000-0000-0000EC010000}"/>
    <cellStyle name="SAPBEXHLevel0 4" xfId="233" xr:uid="{00000000-0005-0000-0000-0000ED010000}"/>
    <cellStyle name="SAPBEXHLevel0 4 2" xfId="358" xr:uid="{00000000-0005-0000-0000-0000EE010000}"/>
    <cellStyle name="SAPBEXHLevel0 4 2 2" xfId="603" xr:uid="{00000000-0005-0000-0000-0000EF010000}"/>
    <cellStyle name="SAPBEXHLevel0 4 2 3" xfId="685" xr:uid="{00000000-0005-0000-0000-0000F0010000}"/>
    <cellStyle name="SAPBEXHLevel0 4 3" xfId="503" xr:uid="{00000000-0005-0000-0000-0000F1010000}"/>
    <cellStyle name="SAPBEXHLevel0 5" xfId="234" xr:uid="{00000000-0005-0000-0000-0000F2010000}"/>
    <cellStyle name="SAPBEXHLevel0 5 2" xfId="359" xr:uid="{00000000-0005-0000-0000-0000F3010000}"/>
    <cellStyle name="SAPBEXHLevel0 5 2 2" xfId="604" xr:uid="{00000000-0005-0000-0000-0000F4010000}"/>
    <cellStyle name="SAPBEXHLevel0 5 2 3" xfId="686" xr:uid="{00000000-0005-0000-0000-0000F5010000}"/>
    <cellStyle name="SAPBEXHLevel0 5 3" xfId="504" xr:uid="{00000000-0005-0000-0000-0000F6010000}"/>
    <cellStyle name="SAPBEXHLevel0 6" xfId="355" xr:uid="{00000000-0005-0000-0000-0000F7010000}"/>
    <cellStyle name="SAPBEXHLevel0 6 2" xfId="600" xr:uid="{00000000-0005-0000-0000-0000F8010000}"/>
    <cellStyle name="SAPBEXHLevel0 6 3" xfId="682" xr:uid="{00000000-0005-0000-0000-0000F9010000}"/>
    <cellStyle name="SAPBEXHLevel0 7" xfId="500" xr:uid="{00000000-0005-0000-0000-0000FA010000}"/>
    <cellStyle name="SAPBEXHLevel0X" xfId="235" xr:uid="{00000000-0005-0000-0000-0000FB010000}"/>
    <cellStyle name="SAPBEXHLevel0X 2" xfId="236" xr:uid="{00000000-0005-0000-0000-0000FC010000}"/>
    <cellStyle name="SAPBEXHLevel0X 2 2" xfId="361" xr:uid="{00000000-0005-0000-0000-0000FD010000}"/>
    <cellStyle name="SAPBEXHLevel0X 2 2 2" xfId="606" xr:uid="{00000000-0005-0000-0000-0000FE010000}"/>
    <cellStyle name="SAPBEXHLevel0X 2 2 3" xfId="688" xr:uid="{00000000-0005-0000-0000-0000FF010000}"/>
    <cellStyle name="SAPBEXHLevel0X 2 3" xfId="506" xr:uid="{00000000-0005-0000-0000-000000020000}"/>
    <cellStyle name="SAPBEXHLevel0X 3" xfId="237" xr:uid="{00000000-0005-0000-0000-000001020000}"/>
    <cellStyle name="SAPBEXHLevel0X 3 2" xfId="362" xr:uid="{00000000-0005-0000-0000-000002020000}"/>
    <cellStyle name="SAPBEXHLevel0X 3 2 2" xfId="607" xr:uid="{00000000-0005-0000-0000-000003020000}"/>
    <cellStyle name="SAPBEXHLevel0X 3 2 3" xfId="689" xr:uid="{00000000-0005-0000-0000-000004020000}"/>
    <cellStyle name="SAPBEXHLevel0X 3 3" xfId="507" xr:uid="{00000000-0005-0000-0000-000005020000}"/>
    <cellStyle name="SAPBEXHLevel0X 4" xfId="238" xr:uid="{00000000-0005-0000-0000-000006020000}"/>
    <cellStyle name="SAPBEXHLevel0X 4 2" xfId="363" xr:uid="{00000000-0005-0000-0000-000007020000}"/>
    <cellStyle name="SAPBEXHLevel0X 4 2 2" xfId="608" xr:uid="{00000000-0005-0000-0000-000008020000}"/>
    <cellStyle name="SAPBEXHLevel0X 4 2 3" xfId="690" xr:uid="{00000000-0005-0000-0000-000009020000}"/>
    <cellStyle name="SAPBEXHLevel0X 4 3" xfId="508" xr:uid="{00000000-0005-0000-0000-00000A020000}"/>
    <cellStyle name="SAPBEXHLevel0X 5" xfId="360" xr:uid="{00000000-0005-0000-0000-00000B020000}"/>
    <cellStyle name="SAPBEXHLevel0X 5 2" xfId="605" xr:uid="{00000000-0005-0000-0000-00000C020000}"/>
    <cellStyle name="SAPBEXHLevel0X 5 3" xfId="687" xr:uid="{00000000-0005-0000-0000-00000D020000}"/>
    <cellStyle name="SAPBEXHLevel0X 6" xfId="505" xr:uid="{00000000-0005-0000-0000-00000E020000}"/>
    <cellStyle name="SAPBEXHLevel1" xfId="239" xr:uid="{00000000-0005-0000-0000-00000F020000}"/>
    <cellStyle name="SAPBEXHLevel1 2" xfId="364" xr:uid="{00000000-0005-0000-0000-000010020000}"/>
    <cellStyle name="SAPBEXHLevel1 2 2" xfId="609" xr:uid="{00000000-0005-0000-0000-000011020000}"/>
    <cellStyle name="SAPBEXHLevel1 2 3" xfId="691" xr:uid="{00000000-0005-0000-0000-000012020000}"/>
    <cellStyle name="SAPBEXHLevel1 3" xfId="509" xr:uid="{00000000-0005-0000-0000-000013020000}"/>
    <cellStyle name="SAPBEXHLevel1X" xfId="240" xr:uid="{00000000-0005-0000-0000-000014020000}"/>
    <cellStyle name="SAPBEXHLevel1X 2" xfId="241" xr:uid="{00000000-0005-0000-0000-000015020000}"/>
    <cellStyle name="SAPBEXHLevel1X 2 2" xfId="366" xr:uid="{00000000-0005-0000-0000-000016020000}"/>
    <cellStyle name="SAPBEXHLevel1X 2 2 2" xfId="611" xr:uid="{00000000-0005-0000-0000-000017020000}"/>
    <cellStyle name="SAPBEXHLevel1X 2 2 3" xfId="693" xr:uid="{00000000-0005-0000-0000-000018020000}"/>
    <cellStyle name="SAPBEXHLevel1X 2 3" xfId="511" xr:uid="{00000000-0005-0000-0000-000019020000}"/>
    <cellStyle name="SAPBEXHLevel1X 3" xfId="242" xr:uid="{00000000-0005-0000-0000-00001A020000}"/>
    <cellStyle name="SAPBEXHLevel1X 3 2" xfId="367" xr:uid="{00000000-0005-0000-0000-00001B020000}"/>
    <cellStyle name="SAPBEXHLevel1X 3 2 2" xfId="612" xr:uid="{00000000-0005-0000-0000-00001C020000}"/>
    <cellStyle name="SAPBEXHLevel1X 3 2 3" xfId="694" xr:uid="{00000000-0005-0000-0000-00001D020000}"/>
    <cellStyle name="SAPBEXHLevel1X 3 3" xfId="512" xr:uid="{00000000-0005-0000-0000-00001E020000}"/>
    <cellStyle name="SAPBEXHLevel1X 4" xfId="243" xr:uid="{00000000-0005-0000-0000-00001F020000}"/>
    <cellStyle name="SAPBEXHLevel1X 4 2" xfId="368" xr:uid="{00000000-0005-0000-0000-000020020000}"/>
    <cellStyle name="SAPBEXHLevel1X 4 2 2" xfId="613" xr:uid="{00000000-0005-0000-0000-000021020000}"/>
    <cellStyle name="SAPBEXHLevel1X 4 2 3" xfId="695" xr:uid="{00000000-0005-0000-0000-000022020000}"/>
    <cellStyle name="SAPBEXHLevel1X 4 3" xfId="513" xr:uid="{00000000-0005-0000-0000-000023020000}"/>
    <cellStyle name="SAPBEXHLevel1X 5" xfId="365" xr:uid="{00000000-0005-0000-0000-000024020000}"/>
    <cellStyle name="SAPBEXHLevel1X 5 2" xfId="610" xr:uid="{00000000-0005-0000-0000-000025020000}"/>
    <cellStyle name="SAPBEXHLevel1X 5 3" xfId="692" xr:uid="{00000000-0005-0000-0000-000026020000}"/>
    <cellStyle name="SAPBEXHLevel1X 6" xfId="510" xr:uid="{00000000-0005-0000-0000-000027020000}"/>
    <cellStyle name="SAPBEXHLevel2" xfId="244" xr:uid="{00000000-0005-0000-0000-000028020000}"/>
    <cellStyle name="SAPBEXHLevel2 2" xfId="369" xr:uid="{00000000-0005-0000-0000-000029020000}"/>
    <cellStyle name="SAPBEXHLevel2 2 2" xfId="614" xr:uid="{00000000-0005-0000-0000-00002A020000}"/>
    <cellStyle name="SAPBEXHLevel2 2 3" xfId="696" xr:uid="{00000000-0005-0000-0000-00002B020000}"/>
    <cellStyle name="SAPBEXHLevel2 3" xfId="514" xr:uid="{00000000-0005-0000-0000-00002C020000}"/>
    <cellStyle name="SAPBEXHLevel2X" xfId="245" xr:uid="{00000000-0005-0000-0000-00002D020000}"/>
    <cellStyle name="SAPBEXHLevel2X 2" xfId="370" xr:uid="{00000000-0005-0000-0000-00002E020000}"/>
    <cellStyle name="SAPBEXHLevel2X 2 2" xfId="615" xr:uid="{00000000-0005-0000-0000-00002F020000}"/>
    <cellStyle name="SAPBEXHLevel2X 2 3" xfId="697" xr:uid="{00000000-0005-0000-0000-000030020000}"/>
    <cellStyle name="SAPBEXHLevel2X 3" xfId="515" xr:uid="{00000000-0005-0000-0000-000031020000}"/>
    <cellStyle name="SAPBEXHLevel3" xfId="246" xr:uid="{00000000-0005-0000-0000-000032020000}"/>
    <cellStyle name="SAPBEXHLevel3 2" xfId="371" xr:uid="{00000000-0005-0000-0000-000033020000}"/>
    <cellStyle name="SAPBEXHLevel3 2 2" xfId="616" xr:uid="{00000000-0005-0000-0000-000034020000}"/>
    <cellStyle name="SAPBEXHLevel3 2 3" xfId="698" xr:uid="{00000000-0005-0000-0000-000035020000}"/>
    <cellStyle name="SAPBEXHLevel3 3" xfId="516" xr:uid="{00000000-0005-0000-0000-000036020000}"/>
    <cellStyle name="SAPBEXHLevel3X" xfId="247" xr:uid="{00000000-0005-0000-0000-000037020000}"/>
    <cellStyle name="SAPBEXHLevel3X 2" xfId="372" xr:uid="{00000000-0005-0000-0000-000038020000}"/>
    <cellStyle name="SAPBEXHLevel3X 2 2" xfId="617" xr:uid="{00000000-0005-0000-0000-000039020000}"/>
    <cellStyle name="SAPBEXHLevel3X 2 3" xfId="699" xr:uid="{00000000-0005-0000-0000-00003A020000}"/>
    <cellStyle name="SAPBEXHLevel3X 3" xfId="517" xr:uid="{00000000-0005-0000-0000-00003B020000}"/>
    <cellStyle name="SAPBEXresData" xfId="248" xr:uid="{00000000-0005-0000-0000-00003C020000}"/>
    <cellStyle name="SAPBEXresData 2" xfId="373" xr:uid="{00000000-0005-0000-0000-00003D020000}"/>
    <cellStyle name="SAPBEXresData 2 2" xfId="618" xr:uid="{00000000-0005-0000-0000-00003E020000}"/>
    <cellStyle name="SAPBEXresData 2 3" xfId="700" xr:uid="{00000000-0005-0000-0000-00003F020000}"/>
    <cellStyle name="SAPBEXresData 3" xfId="518" xr:uid="{00000000-0005-0000-0000-000040020000}"/>
    <cellStyle name="SAPBEXresDataEmph" xfId="249" xr:uid="{00000000-0005-0000-0000-000041020000}"/>
    <cellStyle name="SAPBEXresDataEmph 2" xfId="374" xr:uid="{00000000-0005-0000-0000-000042020000}"/>
    <cellStyle name="SAPBEXresDataEmph 2 2" xfId="619" xr:uid="{00000000-0005-0000-0000-000043020000}"/>
    <cellStyle name="SAPBEXresDataEmph 2 3" xfId="701" xr:uid="{00000000-0005-0000-0000-000044020000}"/>
    <cellStyle name="SAPBEXresDataEmph 3" xfId="519" xr:uid="{00000000-0005-0000-0000-000045020000}"/>
    <cellStyle name="SAPBEXresItem" xfId="250" xr:uid="{00000000-0005-0000-0000-000046020000}"/>
    <cellStyle name="SAPBEXresItem 2" xfId="375" xr:uid="{00000000-0005-0000-0000-000047020000}"/>
    <cellStyle name="SAPBEXresItem 2 2" xfId="620" xr:uid="{00000000-0005-0000-0000-000048020000}"/>
    <cellStyle name="SAPBEXresItem 2 3" xfId="702" xr:uid="{00000000-0005-0000-0000-000049020000}"/>
    <cellStyle name="SAPBEXresItem 3" xfId="520" xr:uid="{00000000-0005-0000-0000-00004A020000}"/>
    <cellStyle name="SAPBEXresItemX" xfId="251" xr:uid="{00000000-0005-0000-0000-00004B020000}"/>
    <cellStyle name="SAPBEXresItemX 2" xfId="376" xr:uid="{00000000-0005-0000-0000-00004C020000}"/>
    <cellStyle name="SAPBEXresItemX 2 2" xfId="621" xr:uid="{00000000-0005-0000-0000-00004D020000}"/>
    <cellStyle name="SAPBEXresItemX 2 3" xfId="703" xr:uid="{00000000-0005-0000-0000-00004E020000}"/>
    <cellStyle name="SAPBEXresItemX 3" xfId="521" xr:uid="{00000000-0005-0000-0000-00004F020000}"/>
    <cellStyle name="SAPBEXstdData" xfId="252" xr:uid="{00000000-0005-0000-0000-000050020000}"/>
    <cellStyle name="SAPBEXstdData 2" xfId="377" xr:uid="{00000000-0005-0000-0000-000051020000}"/>
    <cellStyle name="SAPBEXstdData 2 2" xfId="622" xr:uid="{00000000-0005-0000-0000-000052020000}"/>
    <cellStyle name="SAPBEXstdData 2 3" xfId="704" xr:uid="{00000000-0005-0000-0000-000053020000}"/>
    <cellStyle name="SAPBEXstdData 3" xfId="522" xr:uid="{00000000-0005-0000-0000-000054020000}"/>
    <cellStyle name="SAPBEXstdDataEmph" xfId="253" xr:uid="{00000000-0005-0000-0000-000055020000}"/>
    <cellStyle name="SAPBEXstdDataEmph 2" xfId="378" xr:uid="{00000000-0005-0000-0000-000056020000}"/>
    <cellStyle name="SAPBEXstdDataEmph 2 2" xfId="623" xr:uid="{00000000-0005-0000-0000-000057020000}"/>
    <cellStyle name="SAPBEXstdDataEmph 2 3" xfId="705" xr:uid="{00000000-0005-0000-0000-000058020000}"/>
    <cellStyle name="SAPBEXstdDataEmph 3" xfId="523" xr:uid="{00000000-0005-0000-0000-000059020000}"/>
    <cellStyle name="SAPBEXstdItem" xfId="254" xr:uid="{00000000-0005-0000-0000-00005A020000}"/>
    <cellStyle name="SAPBEXstdItem 2" xfId="255" xr:uid="{00000000-0005-0000-0000-00005B020000}"/>
    <cellStyle name="SAPBEXstdItem 2 2" xfId="380" xr:uid="{00000000-0005-0000-0000-00005C020000}"/>
    <cellStyle name="SAPBEXstdItem 2 2 2" xfId="625" xr:uid="{00000000-0005-0000-0000-00005D020000}"/>
    <cellStyle name="SAPBEXstdItem 2 2 3" xfId="707" xr:uid="{00000000-0005-0000-0000-00005E020000}"/>
    <cellStyle name="SAPBEXstdItem 2 3" xfId="525" xr:uid="{00000000-0005-0000-0000-00005F020000}"/>
    <cellStyle name="SAPBEXstdItem 3" xfId="256" xr:uid="{00000000-0005-0000-0000-000060020000}"/>
    <cellStyle name="SAPBEXstdItem 3 2" xfId="381" xr:uid="{00000000-0005-0000-0000-000061020000}"/>
    <cellStyle name="SAPBEXstdItem 3 2 2" xfId="626" xr:uid="{00000000-0005-0000-0000-000062020000}"/>
    <cellStyle name="SAPBEXstdItem 3 2 3" xfId="708" xr:uid="{00000000-0005-0000-0000-000063020000}"/>
    <cellStyle name="SAPBEXstdItem 3 3" xfId="526" xr:uid="{00000000-0005-0000-0000-000064020000}"/>
    <cellStyle name="SAPBEXstdItem 4" xfId="379" xr:uid="{00000000-0005-0000-0000-000065020000}"/>
    <cellStyle name="SAPBEXstdItem 4 2" xfId="624" xr:uid="{00000000-0005-0000-0000-000066020000}"/>
    <cellStyle name="SAPBEXstdItem 4 3" xfId="706" xr:uid="{00000000-0005-0000-0000-000067020000}"/>
    <cellStyle name="SAPBEXstdItem 5" xfId="524" xr:uid="{00000000-0005-0000-0000-000068020000}"/>
    <cellStyle name="SAPBEXstdItemX" xfId="257" xr:uid="{00000000-0005-0000-0000-000069020000}"/>
    <cellStyle name="SAPBEXstdItemX 2" xfId="258" xr:uid="{00000000-0005-0000-0000-00006A020000}"/>
    <cellStyle name="SAPBEXstdItemX 2 2" xfId="383" xr:uid="{00000000-0005-0000-0000-00006B020000}"/>
    <cellStyle name="SAPBEXstdItemX 2 2 2" xfId="628" xr:uid="{00000000-0005-0000-0000-00006C020000}"/>
    <cellStyle name="SAPBEXstdItemX 2 2 3" xfId="710" xr:uid="{00000000-0005-0000-0000-00006D020000}"/>
    <cellStyle name="SAPBEXstdItemX 2 3" xfId="528" xr:uid="{00000000-0005-0000-0000-00006E020000}"/>
    <cellStyle name="SAPBEXstdItemX 3" xfId="382" xr:uid="{00000000-0005-0000-0000-00006F020000}"/>
    <cellStyle name="SAPBEXstdItemX 3 2" xfId="627" xr:uid="{00000000-0005-0000-0000-000070020000}"/>
    <cellStyle name="SAPBEXstdItemX 3 3" xfId="709" xr:uid="{00000000-0005-0000-0000-000071020000}"/>
    <cellStyle name="SAPBEXstdItemX 4" xfId="527" xr:uid="{00000000-0005-0000-0000-000072020000}"/>
    <cellStyle name="SAPBEXtitle" xfId="259" xr:uid="{00000000-0005-0000-0000-000073020000}"/>
    <cellStyle name="SAPBEXtitle 2" xfId="260" xr:uid="{00000000-0005-0000-0000-000074020000}"/>
    <cellStyle name="SAPBEXtitle 3" xfId="261" xr:uid="{00000000-0005-0000-0000-000075020000}"/>
    <cellStyle name="SAPBEXtitle 4" xfId="262" xr:uid="{00000000-0005-0000-0000-000076020000}"/>
    <cellStyle name="SAPBEXtitle 5" xfId="263" xr:uid="{00000000-0005-0000-0000-000077020000}"/>
    <cellStyle name="SAPBEXundefined" xfId="264" xr:uid="{00000000-0005-0000-0000-000078020000}"/>
    <cellStyle name="SAPBEXundefined 2" xfId="384" xr:uid="{00000000-0005-0000-0000-000079020000}"/>
    <cellStyle name="SAPBEXundefined 2 2" xfId="629" xr:uid="{00000000-0005-0000-0000-00007A020000}"/>
    <cellStyle name="SAPBEXundefined 2 3" xfId="711" xr:uid="{00000000-0005-0000-0000-00007B020000}"/>
    <cellStyle name="SAPBEXundefined 3" xfId="529" xr:uid="{00000000-0005-0000-0000-00007C020000}"/>
    <cellStyle name="Satisfaisant" xfId="398" builtinId="26" customBuiltin="1"/>
    <cellStyle name="Satisfaisant 2" xfId="41" xr:uid="{00000000-0005-0000-0000-00007E020000}"/>
    <cellStyle name="Smart Bold" xfId="265" xr:uid="{00000000-0005-0000-0000-00007F020000}"/>
    <cellStyle name="Smart Forecast" xfId="266" xr:uid="{00000000-0005-0000-0000-000080020000}"/>
    <cellStyle name="Smart General" xfId="267" xr:uid="{00000000-0005-0000-0000-000081020000}"/>
    <cellStyle name="Smart Highlight" xfId="268" xr:uid="{00000000-0005-0000-0000-000082020000}"/>
    <cellStyle name="Smart Percent" xfId="269" xr:uid="{00000000-0005-0000-0000-000083020000}"/>
    <cellStyle name="Smart Source" xfId="270" xr:uid="{00000000-0005-0000-0000-000084020000}"/>
    <cellStyle name="Smart Subtitle 1" xfId="271" xr:uid="{00000000-0005-0000-0000-000085020000}"/>
    <cellStyle name="Smart Subtitle 2" xfId="272" xr:uid="{00000000-0005-0000-0000-000086020000}"/>
    <cellStyle name="Smart Subtotal" xfId="273" xr:uid="{00000000-0005-0000-0000-000087020000}"/>
    <cellStyle name="Smart Title" xfId="274" xr:uid="{00000000-0005-0000-0000-000088020000}"/>
    <cellStyle name="Smart Total" xfId="275" xr:uid="{00000000-0005-0000-0000-000089020000}"/>
    <cellStyle name="Sortie" xfId="402" builtinId="21" customBuiltin="1"/>
    <cellStyle name="Sortie 2" xfId="42" xr:uid="{00000000-0005-0000-0000-00008B020000}"/>
    <cellStyle name="Sortie 2 2" xfId="297" xr:uid="{00000000-0005-0000-0000-00008C020000}"/>
    <cellStyle name="Sortie 2 2 2" xfId="542" xr:uid="{00000000-0005-0000-0000-00008D020000}"/>
    <cellStyle name="Sortie 2 2 3" xfId="644" xr:uid="{00000000-0005-0000-0000-00008E020000}"/>
    <cellStyle name="Sortie 2 3" xfId="442" xr:uid="{00000000-0005-0000-0000-00008F020000}"/>
    <cellStyle name="source" xfId="276" xr:uid="{00000000-0005-0000-0000-000090020000}"/>
    <cellStyle name="SZABO" xfId="277" xr:uid="{00000000-0005-0000-0000-000091020000}"/>
    <cellStyle name="tableau | cellule | normal | entier" xfId="278" xr:uid="{00000000-0005-0000-0000-000092020000}"/>
    <cellStyle name="tableau | cellule | normal | entier 2" xfId="385" xr:uid="{00000000-0005-0000-0000-000093020000}"/>
    <cellStyle name="tableau | cellule | normal | entier 2 2" xfId="630" xr:uid="{00000000-0005-0000-0000-000094020000}"/>
    <cellStyle name="tableau | cellule | normal | entier 2 3" xfId="712" xr:uid="{00000000-0005-0000-0000-000095020000}"/>
    <cellStyle name="tableau | cellule | normal | entier 3" xfId="530" xr:uid="{00000000-0005-0000-0000-000096020000}"/>
    <cellStyle name="tableau | cellule | total | entier" xfId="279" xr:uid="{00000000-0005-0000-0000-000097020000}"/>
    <cellStyle name="tableau | cellule | total | entier 2" xfId="386" xr:uid="{00000000-0005-0000-0000-000098020000}"/>
    <cellStyle name="tableau | cellule | total | entier 2 2" xfId="631" xr:uid="{00000000-0005-0000-0000-000099020000}"/>
    <cellStyle name="tableau | cellule | total | entier 2 3" xfId="713" xr:uid="{00000000-0005-0000-0000-00009A020000}"/>
    <cellStyle name="tableau | cellule | total | entier 3" xfId="531" xr:uid="{00000000-0005-0000-0000-00009B020000}"/>
    <cellStyle name="tableau | coin superieur gauche" xfId="280" xr:uid="{00000000-0005-0000-0000-00009C020000}"/>
    <cellStyle name="tableau | coin superieur gauche 2" xfId="387" xr:uid="{00000000-0005-0000-0000-00009D020000}"/>
    <cellStyle name="tableau | coin superieur gauche 2 2" xfId="632" xr:uid="{00000000-0005-0000-0000-00009E020000}"/>
    <cellStyle name="tableau | coin superieur gauche 2 3" xfId="714" xr:uid="{00000000-0005-0000-0000-00009F020000}"/>
    <cellStyle name="tableau | coin superieur gauche 3" xfId="532" xr:uid="{00000000-0005-0000-0000-0000A0020000}"/>
    <cellStyle name="tableau | entete-colonne | structure | normal" xfId="281" xr:uid="{00000000-0005-0000-0000-0000A1020000}"/>
    <cellStyle name="tableau | entete-colonne | structure | normal 2" xfId="388" xr:uid="{00000000-0005-0000-0000-0000A2020000}"/>
    <cellStyle name="tableau | entete-colonne | structure | normal 2 2" xfId="633" xr:uid="{00000000-0005-0000-0000-0000A3020000}"/>
    <cellStyle name="tableau | entete-colonne | structure | normal 2 3" xfId="715" xr:uid="{00000000-0005-0000-0000-0000A4020000}"/>
    <cellStyle name="tableau | entete-colonne | structure | normal 3" xfId="533" xr:uid="{00000000-0005-0000-0000-0000A5020000}"/>
    <cellStyle name="tableau | entete-ligne | normal" xfId="282" xr:uid="{00000000-0005-0000-0000-0000A6020000}"/>
    <cellStyle name="tableau | entete-ligne | normal 2" xfId="389" xr:uid="{00000000-0005-0000-0000-0000A7020000}"/>
    <cellStyle name="tableau | entete-ligne | normal 2 2" xfId="634" xr:uid="{00000000-0005-0000-0000-0000A8020000}"/>
    <cellStyle name="tableau | entete-ligne | normal 2 3" xfId="716" xr:uid="{00000000-0005-0000-0000-0000A9020000}"/>
    <cellStyle name="tableau | entete-ligne | normal 3" xfId="534" xr:uid="{00000000-0005-0000-0000-0000AA020000}"/>
    <cellStyle name="tableau | entete-ligne | total" xfId="283" xr:uid="{00000000-0005-0000-0000-0000AB020000}"/>
    <cellStyle name="tableau | entete-ligne | total 2" xfId="390" xr:uid="{00000000-0005-0000-0000-0000AC020000}"/>
    <cellStyle name="tableau | entete-ligne | total 2 2" xfId="635" xr:uid="{00000000-0005-0000-0000-0000AD020000}"/>
    <cellStyle name="tableau | entete-ligne | total 2 3" xfId="717" xr:uid="{00000000-0005-0000-0000-0000AE020000}"/>
    <cellStyle name="tableau | entete-ligne | total 3" xfId="535" xr:uid="{00000000-0005-0000-0000-0000AF020000}"/>
    <cellStyle name="tableau | ligne-titre | niveau1" xfId="284" xr:uid="{00000000-0005-0000-0000-0000B0020000}"/>
    <cellStyle name="tableau | ligne-titre | niveau1 2" xfId="391" xr:uid="{00000000-0005-0000-0000-0000B1020000}"/>
    <cellStyle name="tableau | ligne-titre | niveau1 2 2" xfId="636" xr:uid="{00000000-0005-0000-0000-0000B2020000}"/>
    <cellStyle name="tableau | ligne-titre | niveau1 2 3" xfId="718" xr:uid="{00000000-0005-0000-0000-0000B3020000}"/>
    <cellStyle name="tableau | ligne-titre | niveau1 3" xfId="536" xr:uid="{00000000-0005-0000-0000-0000B4020000}"/>
    <cellStyle name="tableau | source | texte" xfId="285" xr:uid="{00000000-0005-0000-0000-0000B5020000}"/>
    <cellStyle name="tableau | unite | texte" xfId="286" xr:uid="{00000000-0005-0000-0000-0000B6020000}"/>
    <cellStyle name="TableStyleLight1" xfId="287" xr:uid="{00000000-0005-0000-0000-0000B7020000}"/>
    <cellStyle name="Texte explicatif" xfId="408" builtinId="53" customBuiltin="1"/>
    <cellStyle name="Texte explicatif 2" xfId="43" xr:uid="{00000000-0005-0000-0000-0000B9020000}"/>
    <cellStyle name="Titre" xfId="393" builtinId="15" customBuiltin="1"/>
    <cellStyle name="Titre 2" xfId="44" xr:uid="{00000000-0005-0000-0000-0000BB020000}"/>
    <cellStyle name="Titre général" xfId="288" xr:uid="{00000000-0005-0000-0000-0000BC020000}"/>
    <cellStyle name="Titre 1" xfId="394" builtinId="16" customBuiltin="1"/>
    <cellStyle name="Titre 1 2" xfId="45" xr:uid="{00000000-0005-0000-0000-0000BE020000}"/>
    <cellStyle name="Titre 2" xfId="395" builtinId="17" customBuiltin="1"/>
    <cellStyle name="Titre 2 2" xfId="46" xr:uid="{00000000-0005-0000-0000-0000C0020000}"/>
    <cellStyle name="Titre 3" xfId="396" builtinId="18" customBuiltin="1"/>
    <cellStyle name="Titre 3 2" xfId="47" xr:uid="{00000000-0005-0000-0000-0000C2020000}"/>
    <cellStyle name="Titre 4" xfId="397" builtinId="19" customBuiltin="1"/>
    <cellStyle name="Titre 4 2" xfId="48" xr:uid="{00000000-0005-0000-0000-0000C4020000}"/>
    <cellStyle name="Total" xfId="409" builtinId="25" customBuiltin="1"/>
    <cellStyle name="Total 2" xfId="49" xr:uid="{00000000-0005-0000-0000-0000C6020000}"/>
    <cellStyle name="Total 2 2" xfId="298" xr:uid="{00000000-0005-0000-0000-0000C7020000}"/>
    <cellStyle name="Total 2 2 2" xfId="543" xr:uid="{00000000-0005-0000-0000-0000C8020000}"/>
    <cellStyle name="Total 2 2 3" xfId="645" xr:uid="{00000000-0005-0000-0000-0000C9020000}"/>
    <cellStyle name="Total 2 3" xfId="443" xr:uid="{00000000-0005-0000-0000-0000CA020000}"/>
    <cellStyle name="Vérification" xfId="405" builtinId="23" customBuiltin="1"/>
    <cellStyle name="Vérification 2" xfId="50" xr:uid="{00000000-0005-0000-0000-0000CC020000}"/>
    <cellStyle name="Virgule fixe" xfId="289" xr:uid="{00000000-0005-0000-0000-0000CD020000}"/>
    <cellStyle name="Währung" xfId="290" xr:uid="{00000000-0005-0000-0000-0000CE020000}"/>
  </cellStyles>
  <dxfs count="207"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FF9F9F"/>
      <color rgb="FFC00000"/>
      <color rgb="FFC6E0B4"/>
      <color rgb="FF00FF00"/>
      <color rgb="FF8DCD47"/>
      <color rgb="FFFFFF00"/>
      <color rgb="FF44546A"/>
      <color rgb="FFFFFFFF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du nombre de contrats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827596215552662"/>
          <c:y val="0.2570465226322981"/>
          <c:w val="0.82641522108966159"/>
          <c:h val="0.50856529741351231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marché'!$B$8</c:f>
              <c:strCache>
                <c:ptCount val="1"/>
                <c:pt idx="0">
                  <c:v>Nombre de contrats 31/12 - Citeo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dLbl>
              <c:idx val="9"/>
              <c:layout>
                <c:manualLayout>
                  <c:x val="-4.1019416099773373E-2"/>
                  <c:y val="-0.124733116963389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FB-4C4B-8EA9-1769B8E41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marché'!$E$8:$Q$8</c:f>
              <c:numCache>
                <c:formatCode>#,##0</c:formatCode>
                <c:ptCount val="13"/>
                <c:pt idx="0">
                  <c:v>22374</c:v>
                </c:pt>
                <c:pt idx="1">
                  <c:v>22271</c:v>
                </c:pt>
                <c:pt idx="2">
                  <c:v>22240</c:v>
                </c:pt>
                <c:pt idx="3">
                  <c:v>23038</c:v>
                </c:pt>
                <c:pt idx="4">
                  <c:v>21687</c:v>
                </c:pt>
                <c:pt idx="5">
                  <c:v>21807</c:v>
                </c:pt>
                <c:pt idx="6">
                  <c:v>22185</c:v>
                </c:pt>
                <c:pt idx="7">
                  <c:v>22366</c:v>
                </c:pt>
                <c:pt idx="8">
                  <c:v>22741</c:v>
                </c:pt>
                <c:pt idx="9">
                  <c:v>20559</c:v>
                </c:pt>
                <c:pt idx="10">
                  <c:v>20844</c:v>
                </c:pt>
                <c:pt idx="11">
                  <c:v>21116</c:v>
                </c:pt>
                <c:pt idx="12">
                  <c:v>23209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0-4789-9B78-70B83218C77E}"/>
            </c:ext>
          </c:extLst>
        </c:ser>
        <c:ser>
          <c:idx val="1"/>
          <c:order val="1"/>
          <c:tx>
            <c:strRef>
              <c:f>'Mise sur le marché'!$B$9</c:f>
              <c:strCache>
                <c:ptCount val="1"/>
                <c:pt idx="0">
                  <c:v>Nombre de contrats 31/12 - Léko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marché'!$E$9:$Q$9</c:f>
              <c:numCache>
                <c:formatCode>#,##0</c:formatCode>
                <c:ptCount val="13"/>
                <c:pt idx="11">
                  <c:v>89</c:v>
                </c:pt>
                <c:pt idx="12">
                  <c:v>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6-4A5F-91C1-C86B5A09C45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959984"/>
        <c:axId val="419961160"/>
      </c:lineChart>
      <c:catAx>
        <c:axId val="41995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9961160"/>
        <c:crosses val="autoZero"/>
        <c:auto val="1"/>
        <c:lblAlgn val="ctr"/>
        <c:lblOffset val="100"/>
        <c:noMultiLvlLbl val="0"/>
      </c:catAx>
      <c:valAx>
        <c:axId val="419961160"/>
        <c:scaling>
          <c:orientation val="minMax"/>
          <c:max val="2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9959984"/>
        <c:crosses val="autoZero"/>
        <c:crossBetween val="between"/>
        <c:majorUnit val="800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0703590976240548E-2"/>
          <c:y val="0.9144492832061869"/>
          <c:w val="0.88605664836102849"/>
          <c:h val="8.5550732872560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Marianne Light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Répartition du tonnage par matériaux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049587365459773"/>
          <c:y val="0.25419508703066179"/>
          <c:w val="0.35148450506111623"/>
          <c:h val="0.6351340046974035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7E-4071-95E6-B0D1770178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F7E-4071-95E6-B0D1770178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F7E-4071-95E6-B0D1770178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7E-4071-95E6-B0D1770178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7E-4071-95E6-B0D1770178B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72-46C3-9DF1-2D79E97F8F25}"/>
              </c:ext>
            </c:extLst>
          </c:dPt>
          <c:dLbls>
            <c:dLbl>
              <c:idx val="0"/>
              <c:layout>
                <c:manualLayout>
                  <c:x val="1.1675953401533962E-2"/>
                  <c:y val="-9.80737859114316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7E-4071-95E6-B0D1770178BA}"/>
                </c:ext>
              </c:extLst>
            </c:dLbl>
            <c:dLbl>
              <c:idx val="1"/>
              <c:layout>
                <c:manualLayout>
                  <c:x val="6.1045820634518529E-2"/>
                  <c:y val="-8.0282854131304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7E-4071-95E6-B0D1770178BA}"/>
                </c:ext>
              </c:extLst>
            </c:dLbl>
            <c:dLbl>
              <c:idx val="2"/>
              <c:layout>
                <c:manualLayout>
                  <c:x val="6.6630583619114794E-2"/>
                  <c:y val="-5.78208872920274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7E-4071-95E6-B0D1770178BA}"/>
                </c:ext>
              </c:extLst>
            </c:dLbl>
            <c:dLbl>
              <c:idx val="3"/>
              <c:layout>
                <c:manualLayout>
                  <c:x val="4.378514159838981E-2"/>
                  <c:y val="6.67162806986821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7E-4071-95E6-B0D1770178BA}"/>
                </c:ext>
              </c:extLst>
            </c:dLbl>
            <c:dLbl>
              <c:idx val="4"/>
              <c:layout>
                <c:manualLayout>
                  <c:x val="-6.7137217117531067E-2"/>
                  <c:y val="4.44775204657882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E-4071-95E6-B0D1770178BA}"/>
                </c:ext>
              </c:extLst>
            </c:dLbl>
            <c:dLbl>
              <c:idx val="5"/>
              <c:layout>
                <c:manualLayout>
                  <c:x val="-4.8947583979573328E-2"/>
                  <c:y val="-7.99479009601272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72-46C3-9DF1-2D79E97F8F2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'Mise sur le marché'!$B$81:$B$86</c:f>
              <c:strCache>
                <c:ptCount val="6"/>
                <c:pt idx="0">
                  <c:v>%Acier</c:v>
                </c:pt>
                <c:pt idx="1">
                  <c:v>%Aluminium</c:v>
                </c:pt>
                <c:pt idx="2">
                  <c:v>%Papier/Carton</c:v>
                </c:pt>
                <c:pt idx="3">
                  <c:v>%Plastique</c:v>
                </c:pt>
                <c:pt idx="4">
                  <c:v>%Verre</c:v>
                </c:pt>
                <c:pt idx="5">
                  <c:v>%Autre</c:v>
                </c:pt>
              </c:strCache>
            </c:strRef>
          </c:cat>
          <c:val>
            <c:numRef>
              <c:f>'Mise sur le marché'!$Q$81:$Q$86</c:f>
              <c:numCache>
                <c:formatCode>0%</c:formatCode>
                <c:ptCount val="6"/>
                <c:pt idx="0">
                  <c:v>4.829475510143437E-2</c:v>
                </c:pt>
                <c:pt idx="1">
                  <c:v>1.6033454873617004E-2</c:v>
                </c:pt>
                <c:pt idx="2">
                  <c:v>0.2196189920442437</c:v>
                </c:pt>
                <c:pt idx="3">
                  <c:v>0.22517916752888267</c:v>
                </c:pt>
                <c:pt idx="4">
                  <c:v>0.48560487917414685</c:v>
                </c:pt>
                <c:pt idx="5">
                  <c:v>5.2687512776753318E-3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E-4071-95E6-B0D177017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89878113434526"/>
          <c:y val="0.2577667490945853"/>
          <c:w val="0.36568822994557987"/>
          <c:h val="0.5511117716832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du montant de l'éco-contribution moyenne, y compris unitaire (€/tonnes)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235569312581355E-2"/>
          <c:y val="0.23315339125476015"/>
          <c:w val="0.89628011751917258"/>
          <c:h val="0.64009839003701141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marché'!$B$128</c:f>
              <c:strCache>
                <c:ptCount val="1"/>
                <c:pt idx="0">
                  <c:v>Eco-contribution moyenne (yc contribution unitaire)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marché'!$E$128:$Q$128</c:f>
              <c:numCache>
                <c:formatCode>#\ ##0.0</c:formatCode>
                <c:ptCount val="13"/>
                <c:pt idx="0">
                  <c:v>89.163381239061138</c:v>
                </c:pt>
                <c:pt idx="1">
                  <c:v>114.82554650762324</c:v>
                </c:pt>
                <c:pt idx="2">
                  <c:v>123.55027739854516</c:v>
                </c:pt>
                <c:pt idx="3">
                  <c:v>138.67406460185452</c:v>
                </c:pt>
                <c:pt idx="4">
                  <c:v>143.65059366476754</c:v>
                </c:pt>
                <c:pt idx="5">
                  <c:v>143.1331646205935</c:v>
                </c:pt>
                <c:pt idx="6">
                  <c:v>138.59232015665731</c:v>
                </c:pt>
                <c:pt idx="7">
                  <c:v>133.02898439103066</c:v>
                </c:pt>
                <c:pt idx="8">
                  <c:v>132.15056986738693</c:v>
                </c:pt>
                <c:pt idx="9">
                  <c:v>134.58780826181035</c:v>
                </c:pt>
                <c:pt idx="10">
                  <c:v>141.83946566477852</c:v>
                </c:pt>
                <c:pt idx="11">
                  <c:v>147.10630203053259</c:v>
                </c:pt>
                <c:pt idx="12">
                  <c:v>161.18112546747389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DF-496E-9BA5-DC00696FE4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957632"/>
        <c:axId val="4199580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'Mise sur le marché'!#REF!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C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'Mise sur le marché'!$E$5:$Q$5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'Mise sur le marché'!#REF!</c15:sqref>
                        </c15:formulaRef>
                      </c:ext>
                    </c:extLst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DEDF-496E-9BA5-DC00696FE448}"/>
                  </c:ext>
                </c:extLst>
              </c15:ser>
            </c15:filteredLineSeries>
          </c:ext>
        </c:extLst>
      </c:lineChart>
      <c:catAx>
        <c:axId val="4199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  <a:headEnd type="non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19958024"/>
        <c:crosses val="autoZero"/>
        <c:auto val="1"/>
        <c:lblAlgn val="ctr"/>
        <c:lblOffset val="100"/>
        <c:noMultiLvlLbl val="0"/>
      </c:catAx>
      <c:valAx>
        <c:axId val="41995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19957632"/>
        <c:crosses val="autoZero"/>
        <c:crossBetween val="between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Evolution de l'éco-contribution moyenne par matériaux hors contribution unitaire (€/t)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7654368653057689E-2"/>
          <c:y val="0.24732321434678578"/>
          <c:w val="0.89765284773891019"/>
          <c:h val="0.56609915728593641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marché'!$B$94</c:f>
              <c:strCache>
                <c:ptCount val="1"/>
                <c:pt idx="0">
                  <c:v>Aluminium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-2.9427198203684422E-2"/>
                  <c:y val="-3.5663473704267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8F-41A6-BEE7-B2C86F0C3A80}"/>
                </c:ext>
              </c:extLst>
            </c:dLbl>
            <c:dLbl>
              <c:idx val="5"/>
              <c:layout>
                <c:manualLayout>
                  <c:x val="-3.5726446425137941E-2"/>
                  <c:y val="-2.3939261768379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8F-41A6-BEE7-B2C86F0C3A80}"/>
                </c:ext>
              </c:extLst>
            </c:dLbl>
            <c:dLbl>
              <c:idx val="6"/>
              <c:layout>
                <c:manualLayout>
                  <c:x val="-3.3254845724374919E-2"/>
                  <c:y val="-2.197713421662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1B-42CC-9BDF-25E1D49A406C}"/>
                </c:ext>
              </c:extLst>
            </c:dLbl>
            <c:dLbl>
              <c:idx val="7"/>
              <c:layout>
                <c:manualLayout>
                  <c:x val="-3.7044246533835985E-2"/>
                  <c:y val="-2.197713421662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1B-42CC-9BDF-25E1D49A406C}"/>
                </c:ext>
              </c:extLst>
            </c:dLbl>
            <c:dLbl>
              <c:idx val="9"/>
              <c:layout>
                <c:manualLayout>
                  <c:x val="-3.3513888888888892E-2"/>
                  <c:y val="-4.4097222222222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8F-41A6-BEE7-B2C86F0C3A80}"/>
                </c:ext>
              </c:extLst>
            </c:dLbl>
            <c:dLbl>
              <c:idx val="10"/>
              <c:layout>
                <c:manualLayout>
                  <c:x val="-3.6717687074829933E-2"/>
                  <c:y val="-4.409722222222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8F-41A6-BEE7-B2C86F0C3A80}"/>
                </c:ext>
              </c:extLst>
            </c:dLbl>
            <c:dLbl>
              <c:idx val="12"/>
              <c:layout>
                <c:manualLayout>
                  <c:x val="-3.5596214276417321E-2"/>
                  <c:y val="-3.9950820710158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FA-40C5-82A8-3B67F486C9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marché'!$E$89:$Q$89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marché'!$E$130:$Q$130</c:f>
              <c:numCache>
                <c:formatCode>#\ ##0.0</c:formatCode>
                <c:ptCount val="13"/>
                <c:pt idx="0">
                  <c:v>81.780891070753981</c:v>
                </c:pt>
                <c:pt idx="1">
                  <c:v>100.31383089670813</c:v>
                </c:pt>
                <c:pt idx="2">
                  <c:v>89.21282450790595</c:v>
                </c:pt>
                <c:pt idx="3">
                  <c:v>238.82683597074816</c:v>
                </c:pt>
                <c:pt idx="4">
                  <c:v>272.28295805300127</c:v>
                </c:pt>
                <c:pt idx="5">
                  <c:v>315.72414568157166</c:v>
                </c:pt>
                <c:pt idx="6">
                  <c:v>277.82670367022774</c:v>
                </c:pt>
                <c:pt idx="7">
                  <c:v>254.18729357023082</c:v>
                </c:pt>
                <c:pt idx="8">
                  <c:v>90.944017419798371</c:v>
                </c:pt>
                <c:pt idx="9">
                  <c:v>95.95061761802782</c:v>
                </c:pt>
                <c:pt idx="10">
                  <c:v>103.88538522353687</c:v>
                </c:pt>
                <c:pt idx="11">
                  <c:v>111.48891016657231</c:v>
                </c:pt>
                <c:pt idx="12">
                  <c:v>115.19045393124891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1E-437D-8115-263ACFB21CB7}"/>
            </c:ext>
          </c:extLst>
        </c:ser>
        <c:ser>
          <c:idx val="1"/>
          <c:order val="1"/>
          <c:tx>
            <c:strRef>
              <c:f>'Mise sur le marché'!$B$93</c:f>
              <c:strCache>
                <c:ptCount val="1"/>
                <c:pt idx="0">
                  <c:v>Acier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6.6283698115961201E-2"/>
                  <c:y val="-4.9282843394662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8F-41A6-BEE7-B2C86F0C3A80}"/>
                </c:ext>
              </c:extLst>
            </c:dLbl>
            <c:dLbl>
              <c:idx val="1"/>
              <c:layout>
                <c:manualLayout>
                  <c:x val="-3.0082879920460815E-2"/>
                  <c:y val="-4.5088558850435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8F-41A6-BEE7-B2C86F0C3A80}"/>
                </c:ext>
              </c:extLst>
            </c:dLbl>
            <c:dLbl>
              <c:idx val="2"/>
              <c:layout>
                <c:manualLayout>
                  <c:x val="-8.3623890031605877E-3"/>
                  <c:y val="-5.347712793888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8F-41A6-BEE7-B2C86F0C3A80}"/>
                </c:ext>
              </c:extLst>
            </c:dLbl>
            <c:dLbl>
              <c:idx val="9"/>
              <c:layout>
                <c:manualLayout>
                  <c:x val="-3.7239334329514644E-2"/>
                  <c:y val="-4.90490612228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8F-41A6-BEE7-B2C86F0C3A80}"/>
                </c:ext>
              </c:extLst>
            </c:dLbl>
            <c:dLbl>
              <c:idx val="12"/>
              <c:layout>
                <c:manualLayout>
                  <c:x val="-3.1440099663450058E-2"/>
                  <c:y val="-5.1384375402312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FA-40C5-82A8-3B67F486C9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marché'!$E$89:$Q$89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marché'!$E$129:$Q$129</c:f>
              <c:numCache>
                <c:formatCode>#\ ##0.0</c:formatCode>
                <c:ptCount val="13"/>
                <c:pt idx="0">
                  <c:v>39.834880954337599</c:v>
                </c:pt>
                <c:pt idx="1">
                  <c:v>48.91941253669809</c:v>
                </c:pt>
                <c:pt idx="2">
                  <c:v>52.272122825164473</c:v>
                </c:pt>
                <c:pt idx="3">
                  <c:v>66.948245503227469</c:v>
                </c:pt>
                <c:pt idx="4">
                  <c:v>66.792401638313081</c:v>
                </c:pt>
                <c:pt idx="5">
                  <c:v>68.899101746776154</c:v>
                </c:pt>
                <c:pt idx="6">
                  <c:v>65.687207667238283</c:v>
                </c:pt>
                <c:pt idx="7">
                  <c:v>62.895004382653667</c:v>
                </c:pt>
                <c:pt idx="8">
                  <c:v>31.390446807237399</c:v>
                </c:pt>
                <c:pt idx="9">
                  <c:v>43.471385283279375</c:v>
                </c:pt>
                <c:pt idx="10">
                  <c:v>43.403346034556343</c:v>
                </c:pt>
                <c:pt idx="11">
                  <c:v>43.582273579056704</c:v>
                </c:pt>
                <c:pt idx="12">
                  <c:v>45.220247582781155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E-437D-8115-263ACFB21CB7}"/>
            </c:ext>
          </c:extLst>
        </c:ser>
        <c:ser>
          <c:idx val="2"/>
          <c:order val="2"/>
          <c:tx>
            <c:strRef>
              <c:f>'Mise sur le marché'!$B$95</c:f>
              <c:strCache>
                <c:ptCount val="1"/>
                <c:pt idx="0">
                  <c:v>Papier/Carton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3"/>
                </a:solidFill>
                <a:round/>
              </a:ln>
              <a:effectLst/>
            </c:spPr>
          </c:marker>
          <c:dLbls>
            <c:dLbl>
              <c:idx val="3"/>
              <c:layout>
                <c:manualLayout>
                  <c:x val="-2.6181945624359517E-2"/>
                  <c:y val="5.1000939538439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8F-41A6-BEE7-B2C86F0C3A80}"/>
                </c:ext>
              </c:extLst>
            </c:dLbl>
            <c:dLbl>
              <c:idx val="7"/>
              <c:layout>
                <c:manualLayout>
                  <c:x val="-6.3715986394557958E-2"/>
                  <c:y val="-4.8199289405684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8F-41A6-BEE7-B2C86F0C3A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marché'!$E$89:$Q$89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marché'!$E$131:$Q$131</c:f>
              <c:numCache>
                <c:formatCode>#\ ##0.0</c:formatCode>
                <c:ptCount val="13"/>
                <c:pt idx="0">
                  <c:v>150.60065560724252</c:v>
                </c:pt>
                <c:pt idx="1">
                  <c:v>185.61144682117285</c:v>
                </c:pt>
                <c:pt idx="2">
                  <c:v>198.24449813033323</c:v>
                </c:pt>
                <c:pt idx="3">
                  <c:v>201.49861408696748</c:v>
                </c:pt>
                <c:pt idx="4">
                  <c:v>201.04756987914627</c:v>
                </c:pt>
                <c:pt idx="5">
                  <c:v>202.3707223606967</c:v>
                </c:pt>
                <c:pt idx="6">
                  <c:v>198.60618846084762</c:v>
                </c:pt>
                <c:pt idx="7">
                  <c:v>188.66258391834677</c:v>
                </c:pt>
                <c:pt idx="8">
                  <c:v>153.27115730968541</c:v>
                </c:pt>
                <c:pt idx="9">
                  <c:v>150.34956110197345</c:v>
                </c:pt>
                <c:pt idx="10">
                  <c:v>154.43106767172731</c:v>
                </c:pt>
                <c:pt idx="11">
                  <c:v>155.11623083096273</c:v>
                </c:pt>
                <c:pt idx="12">
                  <c:v>167.98643664264961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1E-437D-8115-263ACFB21CB7}"/>
            </c:ext>
          </c:extLst>
        </c:ser>
        <c:ser>
          <c:idx val="3"/>
          <c:order val="3"/>
          <c:tx>
            <c:strRef>
              <c:f>'Mise sur le marché'!$B$96</c:f>
              <c:strCache>
                <c:ptCount val="1"/>
                <c:pt idx="0">
                  <c:v>Plastique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4"/>
                </a:solidFill>
                <a:round/>
              </a:ln>
              <a:effectLst/>
            </c:spPr>
          </c:marker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marché'!$E$89:$Q$89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marché'!$E$132:$Q$132</c:f>
              <c:numCache>
                <c:formatCode>#\ ##0.0</c:formatCode>
                <c:ptCount val="13"/>
                <c:pt idx="0">
                  <c:v>242.24684545478556</c:v>
                </c:pt>
                <c:pt idx="1">
                  <c:v>303.55635346414539</c:v>
                </c:pt>
                <c:pt idx="2">
                  <c:v>329.12807535170032</c:v>
                </c:pt>
                <c:pt idx="3">
                  <c:v>351.66375166097612</c:v>
                </c:pt>
                <c:pt idx="4">
                  <c:v>359.16627418278904</c:v>
                </c:pt>
                <c:pt idx="5">
                  <c:v>356.73636982912853</c:v>
                </c:pt>
                <c:pt idx="6">
                  <c:v>343.08877442864571</c:v>
                </c:pt>
                <c:pt idx="7">
                  <c:v>327.77687583931754</c:v>
                </c:pt>
                <c:pt idx="8">
                  <c:v>255.29252201034771</c:v>
                </c:pt>
                <c:pt idx="9">
                  <c:v>289.08691961202214</c:v>
                </c:pt>
                <c:pt idx="10">
                  <c:v>313.85336693933084</c:v>
                </c:pt>
                <c:pt idx="11">
                  <c:v>327.19348175473704</c:v>
                </c:pt>
                <c:pt idx="12">
                  <c:v>358.55495290674833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1E-437D-8115-263ACFB21CB7}"/>
            </c:ext>
          </c:extLst>
        </c:ser>
        <c:ser>
          <c:idx val="4"/>
          <c:order val="4"/>
          <c:tx>
            <c:strRef>
              <c:f>'Mise sur le marché'!$B$97</c:f>
              <c:strCache>
                <c:ptCount val="1"/>
                <c:pt idx="0">
                  <c:v>Verre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2680150939083429E-3"/>
                  <c:y val="-1.9386260863817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1B-42CC-9BDF-25E1D49A406C}"/>
                </c:ext>
              </c:extLst>
            </c:dLbl>
            <c:dLbl>
              <c:idx val="1"/>
              <c:layout>
                <c:manualLayout>
                  <c:x val="-2.3058153454734661E-2"/>
                  <c:y val="-2.4568007569430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1B-42CC-9BDF-25E1D49A406C}"/>
                </c:ext>
              </c:extLst>
            </c:dLbl>
            <c:dLbl>
              <c:idx val="2"/>
              <c:layout>
                <c:manualLayout>
                  <c:x val="-2.3058153454734644E-2"/>
                  <c:y val="-2.715888092223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1B-42CC-9BDF-25E1D49A406C}"/>
                </c:ext>
              </c:extLst>
            </c:dLbl>
            <c:dLbl>
              <c:idx val="3"/>
              <c:layout>
                <c:manualLayout>
                  <c:x val="-2.6989379617509076E-2"/>
                  <c:y val="-2.4568007569430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1B-42CC-9BDF-25E1D49A406C}"/>
                </c:ext>
              </c:extLst>
            </c:dLbl>
            <c:dLbl>
              <c:idx val="4"/>
              <c:layout>
                <c:manualLayout>
                  <c:x val="-2.6989379617509076E-2"/>
                  <c:y val="-2.715888092223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1B-42CC-9BDF-25E1D49A406C}"/>
                </c:ext>
              </c:extLst>
            </c:dLbl>
            <c:dLbl>
              <c:idx val="5"/>
              <c:layout>
                <c:manualLayout>
                  <c:x val="-2.6989379617509076E-2"/>
                  <c:y val="-2.715888092223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1B-42CC-9BDF-25E1D49A406C}"/>
                </c:ext>
              </c:extLst>
            </c:dLbl>
            <c:dLbl>
              <c:idx val="6"/>
              <c:layout>
                <c:manualLayout>
                  <c:x val="-2.6989379617509145E-2"/>
                  <c:y val="-2.4568007569430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1B-42CC-9BDF-25E1D49A406C}"/>
                </c:ext>
              </c:extLst>
            </c:dLbl>
            <c:dLbl>
              <c:idx val="7"/>
              <c:layout>
                <c:manualLayout>
                  <c:x val="-2.6989379617509076E-2"/>
                  <c:y val="-2.7158880922236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1B-42CC-9BDF-25E1D49A406C}"/>
                </c:ext>
              </c:extLst>
            </c:dLbl>
            <c:dLbl>
              <c:idx val="8"/>
              <c:layout>
                <c:manualLayout>
                  <c:x val="-9.9792664131967725E-3"/>
                  <c:y val="-1.9386260863817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1B-42CC-9BDF-25E1D49A406C}"/>
                </c:ext>
              </c:extLst>
            </c:dLbl>
            <c:dLbl>
              <c:idx val="9"/>
              <c:layout>
                <c:manualLayout>
                  <c:x val="-1.5649304147967447E-2"/>
                  <c:y val="-1.4204514158204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1B-42CC-9BDF-25E1D49A406C}"/>
                </c:ext>
              </c:extLst>
            </c:dLbl>
            <c:dLbl>
              <c:idx val="10"/>
              <c:layout>
                <c:manualLayout>
                  <c:x val="-1.1869278991453571E-2"/>
                  <c:y val="-1.9386260863817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1B-42CC-9BDF-25E1D49A406C}"/>
                </c:ext>
              </c:extLst>
            </c:dLbl>
            <c:dLbl>
              <c:idx val="11"/>
              <c:layout>
                <c:manualLayout>
                  <c:x val="-1.375929156971051E-2"/>
                  <c:y val="-1.4204514158204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1B-42CC-9BDF-25E1D49A406C}"/>
                </c:ext>
              </c:extLst>
            </c:dLbl>
            <c:dLbl>
              <c:idx val="12"/>
              <c:layout>
                <c:manualLayout>
                  <c:x val="-1.375929156971051E-2"/>
                  <c:y val="-1.4204514158204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1B-42CC-9BDF-25E1D49A406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'Mise sur le marché'!$E$89:$Q$89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marché'!$E$133:$Q$133</c:f>
              <c:numCache>
                <c:formatCode>#\ ##0.0</c:formatCode>
                <c:ptCount val="13"/>
                <c:pt idx="0">
                  <c:v>6.4498854794864844</c:v>
                </c:pt>
                <c:pt idx="1">
                  <c:v>8.1942516217293839</c:v>
                </c:pt>
                <c:pt idx="2">
                  <c:v>8.7145450366996648</c:v>
                </c:pt>
                <c:pt idx="3">
                  <c:v>15.243540737517664</c:v>
                </c:pt>
                <c:pt idx="4">
                  <c:v>15.33027455520994</c:v>
                </c:pt>
                <c:pt idx="5">
                  <c:v>14.904179931975095</c:v>
                </c:pt>
                <c:pt idx="6">
                  <c:v>14.5929764806466</c:v>
                </c:pt>
                <c:pt idx="7">
                  <c:v>13.995733922037081</c:v>
                </c:pt>
                <c:pt idx="8">
                  <c:v>11.576739781147664</c:v>
                </c:pt>
                <c:pt idx="9">
                  <c:v>14.739267406916611</c:v>
                </c:pt>
                <c:pt idx="10">
                  <c:v>12.889422197350468</c:v>
                </c:pt>
                <c:pt idx="11">
                  <c:v>12.724140148701631</c:v>
                </c:pt>
                <c:pt idx="12">
                  <c:v>13.536819849254831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C1E-437D-8115-263ACFB21CB7}"/>
            </c:ext>
          </c:extLst>
        </c:ser>
        <c:ser>
          <c:idx val="5"/>
          <c:order val="5"/>
          <c:tx>
            <c:strRef>
              <c:f>'Mise sur le marché'!$B$98</c:f>
              <c:strCache>
                <c:ptCount val="1"/>
                <c:pt idx="0">
                  <c:v>Autres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2201579837911551E-2"/>
                  <c:y val="-3.2505705217756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C-4F77-ABF5-A9316FC4BFB9}"/>
                </c:ext>
              </c:extLst>
            </c:dLbl>
            <c:dLbl>
              <c:idx val="1"/>
              <c:layout>
                <c:manualLayout>
                  <c:x val="-1.0570676648314199E-2"/>
                  <c:y val="8.948305344420816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6C-4F77-ABF5-A9316FC4BFB9}"/>
                </c:ext>
              </c:extLst>
            </c:dLbl>
            <c:dLbl>
              <c:idx val="2"/>
              <c:layout>
                <c:manualLayout>
                  <c:x val="-8.6005989702854311E-3"/>
                  <c:y val="-6.22544025466448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C-4F77-ABF5-A9316FC4BFB9}"/>
                </c:ext>
              </c:extLst>
            </c:dLbl>
            <c:dLbl>
              <c:idx val="3"/>
              <c:layout>
                <c:manualLayout>
                  <c:x val="-1.8822739440782551E-2"/>
                  <c:y val="1.8079807875520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C-4F77-ABF5-A9316FC4BFB9}"/>
                </c:ext>
              </c:extLst>
            </c:dLbl>
            <c:dLbl>
              <c:idx val="4"/>
              <c:layout>
                <c:manualLayout>
                  <c:x val="-1.3152701706011669E-2"/>
                  <c:y val="-6.84133369183957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6C-4F77-ABF5-A9316FC4BFB9}"/>
                </c:ext>
              </c:extLst>
            </c:dLbl>
            <c:dLbl>
              <c:idx val="5"/>
              <c:layout>
                <c:manualLayout>
                  <c:x val="-1.6852810582641767E-2"/>
                  <c:y val="1.9683293273399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6C-4F77-ABF5-A9316FC4BFB9}"/>
                </c:ext>
              </c:extLst>
            </c:dLbl>
            <c:dLbl>
              <c:idx val="6"/>
              <c:layout>
                <c:manualLayout>
                  <c:x val="-1.2912804046472284E-2"/>
                  <c:y val="-1.6588933665889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6C-4F77-ABF5-A9316FC4BFB9}"/>
                </c:ext>
              </c:extLst>
            </c:dLbl>
            <c:dLbl>
              <c:idx val="7"/>
              <c:layout>
                <c:manualLayout>
                  <c:x val="-1.5993673368919215E-2"/>
                  <c:y val="-2.042771034933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6C-4F77-ABF5-A9316FC4BFB9}"/>
                </c:ext>
              </c:extLst>
            </c:dLbl>
            <c:dLbl>
              <c:idx val="8"/>
              <c:layout>
                <c:manualLayout>
                  <c:x val="-1.0839743005911721E-2"/>
                  <c:y val="1.018417233428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6C-4F77-ABF5-A9316FC4BFB9}"/>
                </c:ext>
              </c:extLst>
            </c:dLbl>
            <c:dLbl>
              <c:idx val="9"/>
              <c:layout>
                <c:manualLayout>
                  <c:x val="-1.5567602029427049E-2"/>
                  <c:y val="1.2269519374632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6C-4F77-ABF5-A9316FC4BFB9}"/>
                </c:ext>
              </c:extLst>
            </c:dLbl>
            <c:dLbl>
              <c:idx val="10"/>
              <c:layout>
                <c:manualLayout>
                  <c:x val="-1.1955594526523573E-2"/>
                  <c:y val="1.5586653289327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6C-4F77-ABF5-A9316FC4BFB9}"/>
                </c:ext>
              </c:extLst>
            </c:dLbl>
            <c:dLbl>
              <c:idx val="12"/>
              <c:layout>
                <c:manualLayout>
                  <c:x val="-1.3998549673676716E-2"/>
                  <c:y val="-2.8517266018004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6C-4F77-ABF5-A9316FC4BF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marché'!$E$89:$Q$89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marché'!$E$134:$Q$134</c:f>
              <c:numCache>
                <c:formatCode>#\ ##0.0</c:formatCode>
                <c:ptCount val="13"/>
                <c:pt idx="0">
                  <c:v>0</c:v>
                </c:pt>
                <c:pt idx="1">
                  <c:v>170.86988286442227</c:v>
                </c:pt>
                <c:pt idx="2">
                  <c:v>185.52627361243162</c:v>
                </c:pt>
                <c:pt idx="3">
                  <c:v>345.16238383396194</c:v>
                </c:pt>
                <c:pt idx="4">
                  <c:v>332.17273979584132</c:v>
                </c:pt>
                <c:pt idx="5">
                  <c:v>293.89589083813229</c:v>
                </c:pt>
                <c:pt idx="6">
                  <c:v>317.23561914502454</c:v>
                </c:pt>
                <c:pt idx="7">
                  <c:v>286.89028840282384</c:v>
                </c:pt>
                <c:pt idx="8">
                  <c:v>219.83380532159214</c:v>
                </c:pt>
                <c:pt idx="9">
                  <c:v>237.62281412784077</c:v>
                </c:pt>
                <c:pt idx="10">
                  <c:v>305.67610370962706</c:v>
                </c:pt>
                <c:pt idx="11">
                  <c:v>348.49859771711237</c:v>
                </c:pt>
                <c:pt idx="12">
                  <c:v>467.97603104431022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2-465D-B985-BF5CDEB960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4771400"/>
        <c:axId val="419769488"/>
        <c:extLst/>
      </c:lineChart>
      <c:catAx>
        <c:axId val="42477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9769488"/>
        <c:crosses val="autoZero"/>
        <c:auto val="1"/>
        <c:lblAlgn val="ctr"/>
        <c:lblOffset val="400"/>
        <c:noMultiLvlLbl val="0"/>
      </c:catAx>
      <c:valAx>
        <c:axId val="41976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4771400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956001546763686E-2"/>
          <c:y val="0.9202354728154345"/>
          <c:w val="0.8313099781353821"/>
          <c:h val="7.9764540856406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2">
              <a:lumMod val="50000"/>
            </a:schemeClr>
          </a:solidFill>
          <a:latin typeface="Marianne Light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Evolution de l'éco-contribution par matériaux (M€/an)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534801102374661"/>
          <c:y val="0.15878365976847147"/>
          <c:w val="0.85356606025108117"/>
          <c:h val="0.58277070081228299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marché'!$B$94</c:f>
              <c:strCache>
                <c:ptCount val="1"/>
                <c:pt idx="0">
                  <c:v>Aluminium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marché'!$E$94:$Q$94</c:f>
              <c:numCache>
                <c:formatCode>#,##0</c:formatCode>
                <c:ptCount val="13"/>
                <c:pt idx="0">
                  <c:v>4.7134119047899992</c:v>
                </c:pt>
                <c:pt idx="1">
                  <c:v>6</c:v>
                </c:pt>
                <c:pt idx="2">
                  <c:v>6</c:v>
                </c:pt>
                <c:pt idx="3">
                  <c:v>16</c:v>
                </c:pt>
                <c:pt idx="4">
                  <c:v>18</c:v>
                </c:pt>
                <c:pt idx="5">
                  <c:v>21.199683504893468</c:v>
                </c:pt>
                <c:pt idx="6">
                  <c:v>20</c:v>
                </c:pt>
                <c:pt idx="7">
                  <c:v>20</c:v>
                </c:pt>
                <c:pt idx="8">
                  <c:v>7.6599639992197845</c:v>
                </c:pt>
                <c:pt idx="9">
                  <c:v>8.1485218277822717</c:v>
                </c:pt>
                <c:pt idx="10">
                  <c:v>9.0923683623235103</c:v>
                </c:pt>
                <c:pt idx="11">
                  <c:v>9.4757962293689335</c:v>
                </c:pt>
                <c:pt idx="12">
                  <c:v>9.7368464507999999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15-4C9B-A941-8B24E1F5C1E4}"/>
            </c:ext>
          </c:extLst>
        </c:ser>
        <c:ser>
          <c:idx val="1"/>
          <c:order val="1"/>
          <c:tx>
            <c:strRef>
              <c:f>'Mise sur le marché'!$B$93</c:f>
              <c:strCache>
                <c:ptCount val="1"/>
                <c:pt idx="0">
                  <c:v>Acier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06934576842138E-2"/>
                  <c:y val="-3.458021196303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DC-440B-93F1-8916C0637CC8}"/>
                </c:ext>
              </c:extLst>
            </c:dLbl>
            <c:dLbl>
              <c:idx val="1"/>
              <c:layout>
                <c:manualLayout>
                  <c:x val="-1.1864825840435082E-2"/>
                  <c:y val="-3.458021196303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DC-440B-93F1-8916C0637CC8}"/>
                </c:ext>
              </c:extLst>
            </c:dLbl>
            <c:dLbl>
              <c:idx val="2"/>
              <c:layout>
                <c:manualLayout>
                  <c:x val="-1.5643432795987691E-2"/>
                  <c:y val="-3.4580211963039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DC-440B-93F1-8916C0637CC8}"/>
                </c:ext>
              </c:extLst>
            </c:dLbl>
            <c:dLbl>
              <c:idx val="3"/>
              <c:layout>
                <c:manualLayout>
                  <c:x val="-1.5643432795987657E-2"/>
                  <c:y val="-3.458021196303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DC-440B-93F1-8916C0637CC8}"/>
                </c:ext>
              </c:extLst>
            </c:dLbl>
            <c:dLbl>
              <c:idx val="4"/>
              <c:layout>
                <c:manualLayout>
                  <c:x val="-1.4925497474432666E-2"/>
                  <c:y val="-3.458021196303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DC-440B-93F1-8916C0637CC8}"/>
                </c:ext>
              </c:extLst>
            </c:dLbl>
            <c:dLbl>
              <c:idx val="5"/>
              <c:layout>
                <c:manualLayout>
                  <c:x val="-1.1864825840435082E-2"/>
                  <c:y val="-3.7145030169936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DC-440B-93F1-8916C0637CC8}"/>
                </c:ext>
              </c:extLst>
            </c:dLbl>
            <c:dLbl>
              <c:idx val="6"/>
              <c:layout>
                <c:manualLayout>
                  <c:x val="-1.3754129318211367E-2"/>
                  <c:y val="-3.714503016993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DC-440B-93F1-8916C0637CC8}"/>
                </c:ext>
              </c:extLst>
            </c:dLbl>
            <c:dLbl>
              <c:idx val="7"/>
              <c:layout>
                <c:manualLayout>
                  <c:x val="-1.3754129318211437E-2"/>
                  <c:y val="-4.227466658373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DC-440B-93F1-8916C0637CC8}"/>
                </c:ext>
              </c:extLst>
            </c:dLbl>
            <c:dLbl>
              <c:idx val="8"/>
              <c:layout>
                <c:manualLayout>
                  <c:x val="-1.3602985039989265E-2"/>
                  <c:y val="-4.4839484790628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DC-440B-93F1-8916C0637CC8}"/>
                </c:ext>
              </c:extLst>
            </c:dLbl>
            <c:dLbl>
              <c:idx val="9"/>
              <c:layout>
                <c:manualLayout>
                  <c:x val="-1.0693457684213783E-2"/>
                  <c:y val="-4.7404302997525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DC-440B-93F1-8916C0637CC8}"/>
                </c:ext>
              </c:extLst>
            </c:dLbl>
            <c:dLbl>
              <c:idx val="10"/>
              <c:layout>
                <c:manualLayout>
                  <c:x val="-6.9148507286612097E-3"/>
                  <c:y val="-4.7404302997525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DC-440B-93F1-8916C0637CC8}"/>
                </c:ext>
              </c:extLst>
            </c:dLbl>
            <c:dLbl>
              <c:idx val="11"/>
              <c:layout>
                <c:manualLayout>
                  <c:x val="-1.7532736273764081E-2"/>
                  <c:y val="-4.4839484790628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DC-440B-93F1-8916C0637CC8}"/>
                </c:ext>
              </c:extLst>
            </c:dLbl>
            <c:dLbl>
              <c:idx val="12"/>
              <c:layout>
                <c:manualLayout>
                  <c:x val="-1.5643432795987657E-2"/>
                  <c:y val="-3.458021196303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DC-440B-93F1-8916C0637C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marché'!$E$93:$Q$93</c:f>
              <c:numCache>
                <c:formatCode>#,##0</c:formatCode>
                <c:ptCount val="13"/>
                <c:pt idx="0">
                  <c:v>11.369370610185999</c:v>
                </c:pt>
                <c:pt idx="1">
                  <c:v>13.753</c:v>
                </c:pt>
                <c:pt idx="2">
                  <c:v>15</c:v>
                </c:pt>
                <c:pt idx="3">
                  <c:v>21</c:v>
                </c:pt>
                <c:pt idx="4">
                  <c:v>20</c:v>
                </c:pt>
                <c:pt idx="5">
                  <c:v>19.207616847600914</c:v>
                </c:pt>
                <c:pt idx="6">
                  <c:v>18</c:v>
                </c:pt>
                <c:pt idx="7">
                  <c:v>16</c:v>
                </c:pt>
                <c:pt idx="8">
                  <c:v>7.9237847896359428</c:v>
                </c:pt>
                <c:pt idx="9">
                  <c:v>11.096110754534054</c:v>
                </c:pt>
                <c:pt idx="10">
                  <c:v>11.142832562489909</c:v>
                </c:pt>
                <c:pt idx="11">
                  <c:v>11.68534970813533</c:v>
                </c:pt>
                <c:pt idx="12">
                  <c:v>11.5135067975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15-4C9B-A941-8B24E1F5C1E4}"/>
            </c:ext>
          </c:extLst>
        </c:ser>
        <c:ser>
          <c:idx val="2"/>
          <c:order val="2"/>
          <c:tx>
            <c:strRef>
              <c:f>'Mise sur le marché'!$B$95</c:f>
              <c:strCache>
                <c:ptCount val="1"/>
                <c:pt idx="0">
                  <c:v>Papier/Carton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marché'!$E$95:$Q$95</c:f>
              <c:numCache>
                <c:formatCode>#,##0</c:formatCode>
                <c:ptCount val="13"/>
                <c:pt idx="0">
                  <c:v>136.10565863237798</c:v>
                </c:pt>
                <c:pt idx="1">
                  <c:v>171</c:v>
                </c:pt>
                <c:pt idx="2">
                  <c:v>188</c:v>
                </c:pt>
                <c:pt idx="3">
                  <c:v>205</c:v>
                </c:pt>
                <c:pt idx="4">
                  <c:v>206</c:v>
                </c:pt>
                <c:pt idx="5">
                  <c:v>211.96976660737113</c:v>
                </c:pt>
                <c:pt idx="6">
                  <c:v>209</c:v>
                </c:pt>
                <c:pt idx="7">
                  <c:v>206</c:v>
                </c:pt>
                <c:pt idx="8">
                  <c:v>171.69707677746689</c:v>
                </c:pt>
                <c:pt idx="9">
                  <c:v>170.89996925659807</c:v>
                </c:pt>
                <c:pt idx="10">
                  <c:v>177.49684113135521</c:v>
                </c:pt>
                <c:pt idx="11">
                  <c:v>181.21750528269786</c:v>
                </c:pt>
                <c:pt idx="12">
                  <c:v>194.4996524487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15-4C9B-A941-8B24E1F5C1E4}"/>
            </c:ext>
          </c:extLst>
        </c:ser>
        <c:ser>
          <c:idx val="3"/>
          <c:order val="3"/>
          <c:tx>
            <c:strRef>
              <c:f>'Mise sur le marché'!$B$96</c:f>
              <c:strCache>
                <c:ptCount val="1"/>
                <c:pt idx="0">
                  <c:v>Plastique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4"/>
                </a:solidFill>
                <a:round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marché'!$E$96:$Q$96</c:f>
              <c:numCache>
                <c:formatCode>#,##0</c:formatCode>
                <c:ptCount val="13"/>
                <c:pt idx="0">
                  <c:v>249.95933051754395</c:v>
                </c:pt>
                <c:pt idx="1">
                  <c:v>322</c:v>
                </c:pt>
                <c:pt idx="2">
                  <c:v>351</c:v>
                </c:pt>
                <c:pt idx="3">
                  <c:v>380</c:v>
                </c:pt>
                <c:pt idx="4">
                  <c:v>391</c:v>
                </c:pt>
                <c:pt idx="5">
                  <c:v>394.02833739754016</c:v>
                </c:pt>
                <c:pt idx="6">
                  <c:v>386</c:v>
                </c:pt>
                <c:pt idx="7">
                  <c:v>376</c:v>
                </c:pt>
                <c:pt idx="8">
                  <c:v>298.74097873484828</c:v>
                </c:pt>
                <c:pt idx="9">
                  <c:v>336.88820020458303</c:v>
                </c:pt>
                <c:pt idx="10">
                  <c:v>365.78542815331411</c:v>
                </c:pt>
                <c:pt idx="11">
                  <c:v>387.40063571882041</c:v>
                </c:pt>
                <c:pt idx="12">
                  <c:v>425.6558956092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15-4C9B-A941-8B24E1F5C1E4}"/>
            </c:ext>
          </c:extLst>
        </c:ser>
        <c:ser>
          <c:idx val="4"/>
          <c:order val="4"/>
          <c:tx>
            <c:strRef>
              <c:f>'Mise sur le marché'!$B$97</c:f>
              <c:strCache>
                <c:ptCount val="1"/>
                <c:pt idx="0">
                  <c:v>Verre</c:v>
                </c:pt>
              </c:strCache>
              <c:extLst xmlns:c15="http://schemas.microsoft.com/office/drawing/2012/chart"/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2544180991801721E-2"/>
                  <c:y val="-8.4153498982735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4E-425E-AEE6-4FB7896A4D23}"/>
                </c:ext>
              </c:extLst>
            </c:dLbl>
            <c:dLbl>
              <c:idx val="1"/>
              <c:layout>
                <c:manualLayout>
                  <c:x val="-2.2544180991801721E-2"/>
                  <c:y val="-8.807080012880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4E-425E-AEE6-4FB7896A4D23}"/>
                </c:ext>
              </c:extLst>
            </c:dLbl>
            <c:dLbl>
              <c:idx val="2"/>
              <c:layout>
                <c:manualLayout>
                  <c:x val="-2.7354095828814793E-2"/>
                  <c:y val="-8.8070800128808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4E-425E-AEE6-4FB7896A4D23}"/>
                </c:ext>
              </c:extLst>
            </c:dLbl>
            <c:dLbl>
              <c:idx val="3"/>
              <c:layout>
                <c:manualLayout>
                  <c:x val="-2.7354095828814793E-2"/>
                  <c:y val="-8.023619783666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4E-425E-AEE6-4FB7896A4D23}"/>
                </c:ext>
              </c:extLst>
            </c:dLbl>
            <c:dLbl>
              <c:idx val="4"/>
              <c:layout>
                <c:manualLayout>
                  <c:x val="-2.7354095828814793E-2"/>
                  <c:y val="-8.0236197836662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4E-425E-AEE6-4FB7896A4D23}"/>
                </c:ext>
              </c:extLst>
            </c:dLbl>
            <c:dLbl>
              <c:idx val="5"/>
              <c:layout>
                <c:manualLayout>
                  <c:x val="-2.7354095828814793E-2"/>
                  <c:y val="-8.4153498982735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4E-425E-AEE6-4FB7896A4D23}"/>
                </c:ext>
              </c:extLst>
            </c:dLbl>
            <c:dLbl>
              <c:idx val="6"/>
              <c:layout>
                <c:manualLayout>
                  <c:x val="-2.7354095828814859E-2"/>
                  <c:y val="-8.0236197836662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4E-425E-AEE6-4FB7896A4D23}"/>
                </c:ext>
              </c:extLst>
            </c:dLbl>
            <c:dLbl>
              <c:idx val="7"/>
              <c:layout>
                <c:manualLayout>
                  <c:x val="-2.7354095828814793E-2"/>
                  <c:y val="-8.023619783666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4E-425E-AEE6-4FB7896A4D23}"/>
                </c:ext>
              </c:extLst>
            </c:dLbl>
            <c:dLbl>
              <c:idx val="8"/>
              <c:layout>
                <c:manualLayout>
                  <c:x val="-2.7354095828814928E-2"/>
                  <c:y val="-7.6318896690589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4E-425E-AEE6-4FB7896A4D23}"/>
                </c:ext>
              </c:extLst>
            </c:dLbl>
            <c:dLbl>
              <c:idx val="9"/>
              <c:layout>
                <c:manualLayout>
                  <c:x val="-2.7344988879402884E-2"/>
                  <c:y val="-6.0649692106298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4E-425E-AEE6-4FB7896A4D23}"/>
                </c:ext>
              </c:extLst>
            </c:dLbl>
            <c:dLbl>
              <c:idx val="10"/>
              <c:layout>
                <c:manualLayout>
                  <c:x val="-2.7354095828814793E-2"/>
                  <c:y val="-6.4566993252371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4E-425E-AEE6-4FB7896A4D23}"/>
                </c:ext>
              </c:extLst>
            </c:dLbl>
            <c:dLbl>
              <c:idx val="11"/>
              <c:layout>
                <c:manualLayout>
                  <c:x val="-2.8150621818866673E-2"/>
                  <c:y val="-5.7663575825114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DC-440B-93F1-8916C0637CC8}"/>
                </c:ext>
              </c:extLst>
            </c:dLbl>
            <c:dLbl>
              <c:idx val="12"/>
              <c:layout>
                <c:manualLayout>
                  <c:x val="-2.7354095828814793E-2"/>
                  <c:y val="-6.8484294398444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44-43F7-B854-21A147BD5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marché'!$E$97:$Q$97</c:f>
              <c:numCache>
                <c:formatCode>#,##0</c:formatCode>
                <c:ptCount val="13"/>
                <c:pt idx="0">
                  <c:v>15.439941745101999</c:v>
                </c:pt>
                <c:pt idx="1">
                  <c:v>19</c:v>
                </c:pt>
                <c:pt idx="2">
                  <c:v>20.399999999999999</c:v>
                </c:pt>
                <c:pt idx="3">
                  <c:v>35</c:v>
                </c:pt>
                <c:pt idx="4">
                  <c:v>34</c:v>
                </c:pt>
                <c:pt idx="5">
                  <c:v>34.112227040018134</c:v>
                </c:pt>
                <c:pt idx="6">
                  <c:v>34</c:v>
                </c:pt>
                <c:pt idx="7">
                  <c:v>33</c:v>
                </c:pt>
                <c:pt idx="8">
                  <c:v>27.801231087144529</c:v>
                </c:pt>
                <c:pt idx="9">
                  <c:v>37.081436639843744</c:v>
                </c:pt>
                <c:pt idx="10">
                  <c:v>32.9821780974492</c:v>
                </c:pt>
                <c:pt idx="11">
                  <c:v>32.29815932084238</c:v>
                </c:pt>
                <c:pt idx="12">
                  <c:v>34.655678718200001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715-4C9B-A941-8B24E1F5C1E4}"/>
            </c:ext>
          </c:extLst>
        </c:ser>
        <c:ser>
          <c:idx val="5"/>
          <c:order val="5"/>
          <c:tx>
            <c:strRef>
              <c:f>'Mise sur le marché'!$B$99</c:f>
              <c:strCache>
                <c:ptCount val="1"/>
                <c:pt idx="0">
                  <c:v>Contribution unitaire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dLbl>
              <c:idx val="8"/>
              <c:layout>
                <c:manualLayout>
                  <c:x val="-7.0195578231292521E-2"/>
                  <c:y val="-4.10206718346253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4E-425E-AEE6-4FB7896A4D23}"/>
                </c:ext>
              </c:extLst>
            </c:dLbl>
            <c:dLbl>
              <c:idx val="9"/>
              <c:layout>
                <c:manualLayout>
                  <c:x val="-1.7998866213153248E-3"/>
                  <c:y val="-2.8714470284237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4E-425E-AEE6-4FB7896A4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marché'!$E$99:$Q$99</c:f>
              <c:numCache>
                <c:formatCode>#,##0</c:formatCode>
                <c:ptCount val="13"/>
                <c:pt idx="8">
                  <c:v>148.04069075803284</c:v>
                </c:pt>
                <c:pt idx="9">
                  <c:v>126.82671444897555</c:v>
                </c:pt>
                <c:pt idx="10">
                  <c:v>138.35275809999999</c:v>
                </c:pt>
                <c:pt idx="11">
                  <c:v>143.71372467</c:v>
                </c:pt>
                <c:pt idx="12">
                  <c:v>160.59422961000001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C-4A4A-AC56-FD2ECCBDF8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4771400"/>
        <c:axId val="419769488"/>
        <c:extLst/>
      </c:lineChart>
      <c:catAx>
        <c:axId val="42477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9769488"/>
        <c:crosses val="autoZero"/>
        <c:auto val="1"/>
        <c:lblAlgn val="ctr"/>
        <c:lblOffset val="400"/>
        <c:noMultiLvlLbl val="0"/>
      </c:catAx>
      <c:valAx>
        <c:axId val="41976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4771400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673841481503168"/>
          <c:y val="0.86847369890003634"/>
          <c:w val="0.73665511714000642"/>
          <c:h val="0.13152630109996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2">
              <a:lumMod val="50000"/>
            </a:schemeClr>
          </a:solidFill>
          <a:latin typeface="Marianne Light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Répartition du tonnage par matériaux hors contribution unitaire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02-4C7E-80CA-9D469091C9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02-4C7E-80CA-9D469091C9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02-4C7E-80CA-9D469091C9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02-4C7E-80CA-9D469091C9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02-4C7E-80CA-9D469091C9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687-4A7D-9ADA-D7376CA4D065}"/>
              </c:ext>
            </c:extLst>
          </c:dPt>
          <c:dLbls>
            <c:dLbl>
              <c:idx val="0"/>
              <c:layout>
                <c:manualLayout>
                  <c:x val="2.919008768978154E-3"/>
                  <c:y val="-0.10354254534438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02-4C7E-80CA-9D469091C92E}"/>
                </c:ext>
              </c:extLst>
            </c:dLbl>
            <c:dLbl>
              <c:idx val="1"/>
              <c:layout>
                <c:manualLayout>
                  <c:x val="8.0719024124153035E-2"/>
                  <c:y val="-7.6848952059744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02-4C7E-80CA-9D469091C92E}"/>
                </c:ext>
              </c:extLst>
            </c:dLbl>
            <c:dLbl>
              <c:idx val="2"/>
              <c:layout>
                <c:manualLayout>
                  <c:x val="8.3300040219569382E-2"/>
                  <c:y val="-4.904629251288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02-4C7E-80CA-9D469091C92E}"/>
                </c:ext>
              </c:extLst>
            </c:dLbl>
            <c:dLbl>
              <c:idx val="3"/>
              <c:layout>
                <c:manualLayout>
                  <c:x val="-6.9296175391248022E-2"/>
                  <c:y val="5.486574270638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02-4C7E-80CA-9D469091C92E}"/>
                </c:ext>
              </c:extLst>
            </c:dLbl>
            <c:dLbl>
              <c:idx val="4"/>
              <c:layout>
                <c:manualLayout>
                  <c:x val="-7.5218629740251244E-2"/>
                  <c:y val="-3.7777402148098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02-4C7E-80CA-9D469091C92E}"/>
                </c:ext>
              </c:extLst>
            </c:dLbl>
            <c:dLbl>
              <c:idx val="5"/>
              <c:layout>
                <c:manualLayout>
                  <c:x val="-8.0634433575885761E-2"/>
                  <c:y val="-9.8462595047988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87-4A7D-9ADA-D7376CA4D06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1">
                      <a:lumMod val="8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'Mise sur le marché'!$B$93:$B$98</c:f>
              <c:strCache>
                <c:ptCount val="6"/>
                <c:pt idx="0">
                  <c:v>Acier</c:v>
                </c:pt>
                <c:pt idx="1">
                  <c:v>Aluminium</c:v>
                </c:pt>
                <c:pt idx="2">
                  <c:v>Papier/Carton</c:v>
                </c:pt>
                <c:pt idx="3">
                  <c:v>Plastique</c:v>
                </c:pt>
                <c:pt idx="4">
                  <c:v>Verre</c:v>
                </c:pt>
                <c:pt idx="5">
                  <c:v>Autres</c:v>
                </c:pt>
              </c:strCache>
            </c:strRef>
          </c:cat>
          <c:val>
            <c:numRef>
              <c:f>'Mise sur le marché'!$Q$116:$Q$121</c:f>
              <c:numCache>
                <c:formatCode>0%</c:formatCode>
                <c:ptCount val="6"/>
                <c:pt idx="0">
                  <c:v>1.6708993506797987E-2</c:v>
                </c:pt>
                <c:pt idx="1">
                  <c:v>1.4130612591329059E-2</c:v>
                </c:pt>
                <c:pt idx="2">
                  <c:v>0.2822679038627452</c:v>
                </c:pt>
                <c:pt idx="3">
                  <c:v>0.61773373837836609</c:v>
                </c:pt>
                <c:pt idx="4">
                  <c:v>5.0294104208269221E-2</c:v>
                </c:pt>
                <c:pt idx="5">
                  <c:v>1.8864647452492535E-2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02-4C7E-80CA-9D469091C9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du montant de l'éco-modulation (M€)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235569312581355E-2"/>
          <c:y val="0.16351589384660253"/>
          <c:w val="0.89628011751917258"/>
          <c:h val="0.62204163254018063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marché'!$B$122</c:f>
              <c:strCache>
                <c:ptCount val="1"/>
                <c:pt idx="0">
                  <c:v>Montant total de l'éco-modulation : Bonus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'Mise sur le marché'!$H$89:$Q$89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'Mise sur le marché'!$H$122:$Q$122</c:f>
              <c:numCache>
                <c:formatCode>#,##0</c:formatCode>
                <c:ptCount val="10"/>
                <c:pt idx="0">
                  <c:v>-1.3087629500000002</c:v>
                </c:pt>
                <c:pt idx="1">
                  <c:v>-2.9531867599999999</c:v>
                </c:pt>
                <c:pt idx="2">
                  <c:v>-20.340322260000004</c:v>
                </c:pt>
                <c:pt idx="3">
                  <c:v>-25.561341489999993</c:v>
                </c:pt>
                <c:pt idx="4">
                  <c:v>-28.98535767000001</c:v>
                </c:pt>
                <c:pt idx="5">
                  <c:v>-31.881556590000002</c:v>
                </c:pt>
                <c:pt idx="6">
                  <c:v>-58.637695426311609</c:v>
                </c:pt>
                <c:pt idx="7">
                  <c:v>-41.390994232799898</c:v>
                </c:pt>
                <c:pt idx="8">
                  <c:v>-43.161515515270601</c:v>
                </c:pt>
                <c:pt idx="9">
                  <c:v>-56.477497999999997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8E-4FCB-8B72-BE9FE053BDEB}"/>
            </c:ext>
          </c:extLst>
        </c:ser>
        <c:ser>
          <c:idx val="1"/>
          <c:order val="1"/>
          <c:tx>
            <c:strRef>
              <c:f>'Mise sur le marché'!#REF!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marché'!$H$89:$Q$89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'Mise sur le marché'!#REF!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A58E-4FCB-8B72-BE9FE053BDEB}"/>
            </c:ext>
          </c:extLst>
        </c:ser>
        <c:ser>
          <c:idx val="2"/>
          <c:order val="2"/>
          <c:tx>
            <c:strRef>
              <c:f>'Mise sur le marché'!$B$123</c:f>
              <c:strCache>
                <c:ptCount val="1"/>
                <c:pt idx="0">
                  <c:v>Montant total de l'éco-modulation : Malus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rgbClr val="C00000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marché'!$H$89:$Q$89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'Mise sur le marché'!$H$123:$Q$123</c:f>
              <c:numCache>
                <c:formatCode>#,##0</c:formatCode>
                <c:ptCount val="10"/>
                <c:pt idx="0">
                  <c:v>1.1282876899999994</c:v>
                </c:pt>
                <c:pt idx="1">
                  <c:v>0.91124075000000038</c:v>
                </c:pt>
                <c:pt idx="2">
                  <c:v>0.85823586000000029</c:v>
                </c:pt>
                <c:pt idx="3">
                  <c:v>0.88463805999999967</c:v>
                </c:pt>
                <c:pt idx="4">
                  <c:v>1.1266552699999999</c:v>
                </c:pt>
                <c:pt idx="5">
                  <c:v>1.2153584800000001</c:v>
                </c:pt>
                <c:pt idx="6">
                  <c:v>2.0962863899999999</c:v>
                </c:pt>
                <c:pt idx="7">
                  <c:v>2.1937603736328146</c:v>
                </c:pt>
                <c:pt idx="8">
                  <c:v>1.8502265407715228</c:v>
                </c:pt>
                <c:pt idx="9">
                  <c:v>2.994424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8E-4FCB-8B72-BE9FE053BD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957632"/>
        <c:axId val="419958024"/>
        <c:extLst/>
      </c:lineChart>
      <c:catAx>
        <c:axId val="4199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  <a:headEnd type="non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19958024"/>
        <c:crossesAt val="-90"/>
        <c:auto val="1"/>
        <c:lblAlgn val="ctr"/>
        <c:lblOffset val="100"/>
        <c:noMultiLvlLbl val="0"/>
      </c:catAx>
      <c:valAx>
        <c:axId val="41995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19957632"/>
        <c:crosses val="autoZero"/>
        <c:crossBetween val="between"/>
        <c:majorUnit val="3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349998213502863E-2"/>
          <c:y val="0.89331117650073555"/>
          <c:w val="0.97065000178649696"/>
          <c:h val="0.10668893925053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Evolution de la répartition des tonnages contribuants d'emballages par matériaux (%)</a:t>
            </a:r>
            <a:endParaRPr lang="fr-FR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7112925170068025"/>
          <c:y val="2.4612403100775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5573014709113553E-2"/>
          <c:y val="0.21035253339402016"/>
          <c:w val="0.91299841214824329"/>
          <c:h val="0.627605208333333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'Mise sur le marché'!$B$16</c:f>
              <c:strCache>
                <c:ptCount val="1"/>
                <c:pt idx="0">
                  <c:v>Acier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marché'!$E$12:$Q$12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marché'!$E$81:$Q$81</c:f>
              <c:numCache>
                <c:formatCode>0%</c:formatCode>
                <c:ptCount val="13"/>
                <c:pt idx="0">
                  <c:v>6.0838881053796708E-2</c:v>
                </c:pt>
                <c:pt idx="1">
                  <c:v>6.0339394676819667E-2</c:v>
                </c:pt>
                <c:pt idx="2">
                  <c:v>6.069071466623923E-2</c:v>
                </c:pt>
                <c:pt idx="3">
                  <c:v>6.5338738683366246E-2</c:v>
                </c:pt>
                <c:pt idx="4">
                  <c:v>6.3349120087310612E-2</c:v>
                </c:pt>
                <c:pt idx="5">
                  <c:v>5.787085315046514E-2</c:v>
                </c:pt>
                <c:pt idx="6">
                  <c:v>5.6097331288954798E-2</c:v>
                </c:pt>
                <c:pt idx="7">
                  <c:v>5.1275059248356333E-2</c:v>
                </c:pt>
                <c:pt idx="8">
                  <c:v>4.9897790700350962E-2</c:v>
                </c:pt>
                <c:pt idx="9">
                  <c:v>4.9183601210699507E-2</c:v>
                </c:pt>
                <c:pt idx="10">
                  <c:v>4.8900320067586413E-2</c:v>
                </c:pt>
                <c:pt idx="11">
                  <c:v>5.086341919099336E-2</c:v>
                </c:pt>
                <c:pt idx="12">
                  <c:v>4.829475510143437E-2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03D9-4D43-B1EF-1F6BB278C2C0}"/>
            </c:ext>
          </c:extLst>
        </c:ser>
        <c:ser>
          <c:idx val="1"/>
          <c:order val="1"/>
          <c:tx>
            <c:strRef>
              <c:f>'Mise sur le marché'!$B$17</c:f>
              <c:strCache>
                <c:ptCount val="1"/>
                <c:pt idx="0">
                  <c:v>Aluminium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marché'!$E$12:$Q$12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marché'!$E$82:$Q$82</c:f>
              <c:numCache>
                <c:formatCode>0%</c:formatCode>
                <c:ptCount val="13"/>
                <c:pt idx="0">
                  <c:v>1.2285472784255574E-2</c:v>
                </c:pt>
                <c:pt idx="1">
                  <c:v>1.2837343832768629E-2</c:v>
                </c:pt>
                <c:pt idx="2">
                  <c:v>1.4224109633921657E-2</c:v>
                </c:pt>
                <c:pt idx="3">
                  <c:v>1.3954925085493843E-2</c:v>
                </c:pt>
                <c:pt idx="4">
                  <c:v>1.3985876722896372E-2</c:v>
                </c:pt>
                <c:pt idx="5">
                  <c:v>1.393867658942469E-2</c:v>
                </c:pt>
                <c:pt idx="6">
                  <c:v>1.4736912540069024E-2</c:v>
                </c:pt>
                <c:pt idx="7">
                  <c:v>1.5859098574763926E-2</c:v>
                </c:pt>
                <c:pt idx="8">
                  <c:v>1.6649405711294949E-2</c:v>
                </c:pt>
                <c:pt idx="9">
                  <c:v>1.63637968820564E-2</c:v>
                </c:pt>
                <c:pt idx="10">
                  <c:v>1.6671008614692083E-2</c:v>
                </c:pt>
                <c:pt idx="11">
                  <c:v>1.6123442111525742E-2</c:v>
                </c:pt>
                <c:pt idx="12">
                  <c:v>1.6033454873617004E-2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03D9-4D43-B1EF-1F6BB278C2C0}"/>
            </c:ext>
          </c:extLst>
        </c:ser>
        <c:ser>
          <c:idx val="2"/>
          <c:order val="2"/>
          <c:tx>
            <c:strRef>
              <c:f>'Mise sur le marché'!$B$18</c:f>
              <c:strCache>
                <c:ptCount val="1"/>
                <c:pt idx="0">
                  <c:v>Papier/Carton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marché'!$E$12:$Q$12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marché'!$E$83:$Q$83</c:f>
              <c:numCache>
                <c:formatCode>0%</c:formatCode>
                <c:ptCount val="13"/>
                <c:pt idx="0">
                  <c:v>0.19264495362190087</c:v>
                </c:pt>
                <c:pt idx="1">
                  <c:v>0.19773160585215652</c:v>
                </c:pt>
                <c:pt idx="2">
                  <c:v>0.20056624151975502</c:v>
                </c:pt>
                <c:pt idx="3">
                  <c:v>0.21192024601297854</c:v>
                </c:pt>
                <c:pt idx="4">
                  <c:v>0.21677342686083328</c:v>
                </c:pt>
                <c:pt idx="5">
                  <c:v>0.21743337185282705</c:v>
                </c:pt>
                <c:pt idx="6">
                  <c:v>0.21542892086794402</c:v>
                </c:pt>
                <c:pt idx="7">
                  <c:v>0.22008162399255951</c:v>
                </c:pt>
                <c:pt idx="8">
                  <c:v>0.22143619353969698</c:v>
                </c:pt>
                <c:pt idx="9">
                  <c:v>0.21902457251916915</c:v>
                </c:pt>
                <c:pt idx="10">
                  <c:v>0.21892495180980168</c:v>
                </c:pt>
                <c:pt idx="11">
                  <c:v>0.22162391580821539</c:v>
                </c:pt>
                <c:pt idx="12">
                  <c:v>0.2196189920442437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03D9-4D43-B1EF-1F6BB278C2C0}"/>
            </c:ext>
          </c:extLst>
        </c:ser>
        <c:ser>
          <c:idx val="3"/>
          <c:order val="3"/>
          <c:tx>
            <c:strRef>
              <c:f>'Mise sur le marché'!$B$22</c:f>
              <c:strCache>
                <c:ptCount val="1"/>
                <c:pt idx="0">
                  <c:v>Plastique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marché'!$E$12:$Q$12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marché'!$E$84:$Q$84</c:f>
              <c:numCache>
                <c:formatCode>0%</c:formatCode>
                <c:ptCount val="13"/>
                <c:pt idx="0">
                  <c:v>0.2199477585254071</c:v>
                </c:pt>
                <c:pt idx="1">
                  <c:v>0.22766762845064534</c:v>
                </c:pt>
                <c:pt idx="2">
                  <c:v>0.22555025188593078</c:v>
                </c:pt>
                <c:pt idx="3">
                  <c:v>0.22508504638337157</c:v>
                </c:pt>
                <c:pt idx="4">
                  <c:v>0.23031321549269793</c:v>
                </c:pt>
                <c:pt idx="5">
                  <c:v>0.22928731496283589</c:v>
                </c:pt>
                <c:pt idx="6">
                  <c:v>0.23031980954192377</c:v>
                </c:pt>
                <c:pt idx="7">
                  <c:v>0.23121280015673676</c:v>
                </c:pt>
                <c:pt idx="8">
                  <c:v>0.23131449531102485</c:v>
                </c:pt>
                <c:pt idx="9">
                  <c:v>0.22454861445818142</c:v>
                </c:pt>
                <c:pt idx="10">
                  <c:v>0.22199281419363659</c:v>
                </c:pt>
                <c:pt idx="11">
                  <c:v>0.22461016440259046</c:v>
                </c:pt>
                <c:pt idx="12">
                  <c:v>0.22517916752888267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03D9-4D43-B1EF-1F6BB278C2C0}"/>
            </c:ext>
          </c:extLst>
        </c:ser>
        <c:ser>
          <c:idx val="4"/>
          <c:order val="4"/>
          <c:tx>
            <c:strRef>
              <c:f>'Mise sur le marché'!$B$32</c:f>
              <c:strCache>
                <c:ptCount val="1"/>
                <c:pt idx="0">
                  <c:v>Verre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marché'!$E$12:$Q$12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marché'!$E$85:$Q$85</c:f>
              <c:numCache>
                <c:formatCode>0%</c:formatCode>
                <c:ptCount val="13"/>
                <c:pt idx="0">
                  <c:v>0.51027227464208391</c:v>
                </c:pt>
                <c:pt idx="1">
                  <c:v>0.49765577055626109</c:v>
                </c:pt>
                <c:pt idx="2">
                  <c:v>0.49509276389162826</c:v>
                </c:pt>
                <c:pt idx="3">
                  <c:v>0.47826966992857634</c:v>
                </c:pt>
                <c:pt idx="4">
                  <c:v>0.46920932544385441</c:v>
                </c:pt>
                <c:pt idx="5">
                  <c:v>0.47511850921422033</c:v>
                </c:pt>
                <c:pt idx="6">
                  <c:v>0.47696392341982924</c:v>
                </c:pt>
                <c:pt idx="7">
                  <c:v>0.47524833328521965</c:v>
                </c:pt>
                <c:pt idx="8">
                  <c:v>0.47470510163636309</c:v>
                </c:pt>
                <c:pt idx="9">
                  <c:v>0.48476769974999007</c:v>
                </c:pt>
                <c:pt idx="10">
                  <c:v>0.48739962580180568</c:v>
                </c:pt>
                <c:pt idx="11">
                  <c:v>0.48152966622218724</c:v>
                </c:pt>
                <c:pt idx="12">
                  <c:v>0.48560487917414685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03D9-4D43-B1EF-1F6BB278C2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25620936"/>
        <c:axId val="425617408"/>
      </c:barChart>
      <c:catAx>
        <c:axId val="42562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7408"/>
        <c:crosses val="autoZero"/>
        <c:auto val="1"/>
        <c:lblAlgn val="ctr"/>
        <c:lblOffset val="100"/>
        <c:noMultiLvlLbl val="0"/>
      </c:catAx>
      <c:valAx>
        <c:axId val="42561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209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70576943468609"/>
          <c:y val="0.91849596794012478"/>
          <c:w val="0.55453400669454667"/>
          <c:h val="8.1503974593964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Evolution de la population contractuelle totale, y compris DROM-COM et Pourvoi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3022720025533949E-2"/>
          <c:y val="0.25903200867151516"/>
          <c:w val="0.91599152282735974"/>
          <c:h val="0.61318747036871646"/>
        </c:manualLayout>
      </c:layout>
      <c:lineChart>
        <c:grouping val="standard"/>
        <c:varyColors val="0"/>
        <c:ser>
          <c:idx val="0"/>
          <c:order val="0"/>
          <c:tx>
            <c:strRef>
              <c:f>'Collecte et tri'!$B$10</c:f>
              <c:strCache>
                <c:ptCount val="1"/>
                <c:pt idx="0">
                  <c:v>Population contractuelle totale (y compris DROM-COM et Pourvoi)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5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tri'!$I$4:$Q$4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'Collecte et tri'!$I$10:$Q$10</c:f>
              <c:numCache>
                <c:formatCode>#,##0</c:formatCode>
                <c:ptCount val="9"/>
                <c:pt idx="0">
                  <c:v>64694946</c:v>
                </c:pt>
                <c:pt idx="1">
                  <c:v>64739999.999999993</c:v>
                </c:pt>
                <c:pt idx="2">
                  <c:v>64739999.999999993</c:v>
                </c:pt>
                <c:pt idx="3">
                  <c:v>64740000</c:v>
                </c:pt>
                <c:pt idx="4">
                  <c:v>64800000</c:v>
                </c:pt>
                <c:pt idx="5">
                  <c:v>66121680</c:v>
                </c:pt>
                <c:pt idx="6">
                  <c:v>66485579</c:v>
                </c:pt>
                <c:pt idx="7">
                  <c:v>66657338</c:v>
                </c:pt>
                <c:pt idx="8">
                  <c:v>66819729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17-45BD-AAC3-D0ED0563D28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5618976"/>
        <c:axId val="425619368"/>
      </c:lineChart>
      <c:catAx>
        <c:axId val="4256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9368"/>
        <c:crosses val="autoZero"/>
        <c:auto val="1"/>
        <c:lblAlgn val="ctr"/>
        <c:lblOffset val="100"/>
        <c:noMultiLvlLbl val="0"/>
      </c:catAx>
      <c:valAx>
        <c:axId val="42561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8976"/>
        <c:crosses val="autoZero"/>
        <c:crossBetween val="between"/>
        <c:majorUnit val="1000000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Marianne Light" panose="02000000000000000000" pitchFamily="50" charset="0"/>
                      <a:ea typeface="+mn-ea"/>
                      <a:cs typeface="+mn-cs"/>
                    </a:defRPr>
                  </a:pPr>
                  <a:r>
                    <a:rPr lang="fr-FR">
                      <a:solidFill>
                        <a:schemeClr val="bg1">
                          <a:lumMod val="50000"/>
                        </a:schemeClr>
                      </a:solidFill>
                    </a:rPr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Evolution du nombre de contrats avec les collectivités locales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689915835318676E-2"/>
          <c:y val="0.24968378952630921"/>
          <c:w val="0.92848085667239355"/>
          <c:h val="0.62807568492920385"/>
        </c:manualLayout>
      </c:layout>
      <c:lineChart>
        <c:grouping val="standard"/>
        <c:varyColors val="0"/>
        <c:ser>
          <c:idx val="0"/>
          <c:order val="0"/>
          <c:tx>
            <c:strRef>
              <c:f>'Collecte et tri'!$B$7</c:f>
              <c:strCache>
                <c:ptCount val="1"/>
                <c:pt idx="0">
                  <c:v>Nombre de contrats - Citéo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Pt>
            <c:idx val="4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6"/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61-4BC7-AB9C-CDADC60B18DF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6"/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90F-4507-A760-B2B7BFAC9477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6"/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D1-46CD-A53D-4FF8ECBCD68D}"/>
              </c:ext>
            </c:extLst>
          </c:dPt>
          <c:dPt>
            <c:idx val="7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6"/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D1-46CD-A53D-4FF8ECBCD68D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6"/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D1-46CD-A53D-4FF8ECBCD68D}"/>
              </c:ext>
            </c:extLst>
          </c:dPt>
          <c:dPt>
            <c:idx val="9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6"/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D1-46CD-A53D-4FF8ECBCD6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tri'!$E$7:$Q$7</c:f>
              <c:numCache>
                <c:formatCode>General</c:formatCode>
                <c:ptCount val="13"/>
                <c:pt idx="0">
                  <c:v>1210</c:v>
                </c:pt>
                <c:pt idx="1">
                  <c:v>1167</c:v>
                </c:pt>
                <c:pt idx="2" formatCode="#,##0">
                  <c:v>1162</c:v>
                </c:pt>
                <c:pt idx="3">
                  <c:v>1139</c:v>
                </c:pt>
                <c:pt idx="4">
                  <c:v>1082</c:v>
                </c:pt>
                <c:pt idx="5" formatCode="#,##0">
                  <c:v>992</c:v>
                </c:pt>
                <c:pt idx="6" formatCode="#,##0">
                  <c:v>982</c:v>
                </c:pt>
                <c:pt idx="7" formatCode="#,##0">
                  <c:v>982</c:v>
                </c:pt>
                <c:pt idx="8" formatCode="#,##0">
                  <c:v>738</c:v>
                </c:pt>
                <c:pt idx="9" formatCode="#,##0">
                  <c:v>708</c:v>
                </c:pt>
                <c:pt idx="10" formatCode="#,##0">
                  <c:v>700</c:v>
                </c:pt>
                <c:pt idx="11" formatCode="#,##0">
                  <c:v>688</c:v>
                </c:pt>
                <c:pt idx="12" formatCode="#,##0">
                  <c:v>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E3-47BD-84B6-8C19DF437B8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5619760"/>
        <c:axId val="425620544"/>
      </c:lineChart>
      <c:catAx>
        <c:axId val="42561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20544"/>
        <c:crosses val="autoZero"/>
        <c:auto val="1"/>
        <c:lblAlgn val="ctr"/>
        <c:lblOffset val="100"/>
        <c:noMultiLvlLbl val="0"/>
      </c:catAx>
      <c:valAx>
        <c:axId val="42562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9760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du taux de recyclage total par rapport aux objectifs de recyclage</a:t>
            </a:r>
          </a:p>
        </c:rich>
      </c:tx>
      <c:layout>
        <c:manualLayout>
          <c:xMode val="edge"/>
          <c:yMode val="edge"/>
          <c:x val="0.15415609924394519"/>
          <c:y val="7.93020782740569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2632059298506982E-2"/>
          <c:y val="0.19844221203659015"/>
          <c:w val="0.89218704823493311"/>
          <c:h val="0.62230151268724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'Collecte et tri'!$B$81</c:f>
              <c:strCache>
                <c:ptCount val="1"/>
                <c:pt idx="0">
                  <c:v>Taux de recyclage total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tri'!$G$4:$Q$4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'Collecte et tri'!$E$81:$Q$81</c:f>
              <c:numCache>
                <c:formatCode>0.0%</c:formatCode>
                <c:ptCount val="13"/>
                <c:pt idx="0">
                  <c:v>0.62881459343090917</c:v>
                </c:pt>
                <c:pt idx="1">
                  <c:v>0.63793774733878361</c:v>
                </c:pt>
                <c:pt idx="2">
                  <c:v>0.65892131170135582</c:v>
                </c:pt>
                <c:pt idx="3">
                  <c:v>0.65516171770211939</c:v>
                </c:pt>
                <c:pt idx="4">
                  <c:v>0.67304710349082086</c:v>
                </c:pt>
                <c:pt idx="5">
                  <c:v>0.66787722180710152</c:v>
                </c:pt>
                <c:pt idx="6">
                  <c:v>0.66668617784060746</c:v>
                </c:pt>
                <c:pt idx="7">
                  <c:v>0.67625562689187713</c:v>
                </c:pt>
                <c:pt idx="8">
                  <c:v>0.67536905562855953</c:v>
                </c:pt>
                <c:pt idx="9">
                  <c:v>0.67961093343200107</c:v>
                </c:pt>
                <c:pt idx="10">
                  <c:v>0.68844758616621138</c:v>
                </c:pt>
                <c:pt idx="11">
                  <c:v>0.69672877913354192</c:v>
                </c:pt>
                <c:pt idx="12">
                  <c:v>0.72298243389172667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48-454B-9966-02252CAE63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4"/>
        <c:overlap val="-7"/>
        <c:axId val="425618584"/>
        <c:axId val="425615840"/>
      </c:barChart>
      <c:lineChart>
        <c:grouping val="standard"/>
        <c:varyColors val="0"/>
        <c:ser>
          <c:idx val="0"/>
          <c:order val="0"/>
          <c:tx>
            <c:strRef>
              <c:f>'Collecte et tri'!$B$91</c:f>
              <c:strCache>
                <c:ptCount val="1"/>
                <c:pt idx="0">
                  <c:v>Objectif de recyclage global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3"/>
                </a:solidFill>
                <a:round/>
              </a:ln>
              <a:effectLst/>
            </c:spPr>
          </c:marker>
          <c:dPt>
            <c:idx val="4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3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33-4EA2-9E77-F93130997F89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3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733-4EA2-9E77-F93130997F89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3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7C-42A4-AA45-8D132190C166}"/>
              </c:ext>
            </c:extLst>
          </c:dPt>
          <c:dPt>
            <c:idx val="7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3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7C-42A4-AA45-8D132190C1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tri'!$E$91:$Q$91</c:f>
              <c:numCache>
                <c:formatCode>General</c:formatCode>
                <c:ptCount val="13"/>
                <c:pt idx="4" formatCode="0%">
                  <c:v>0.75</c:v>
                </c:pt>
                <c:pt idx="5" formatCode="0%">
                  <c:v>0.75</c:v>
                </c:pt>
                <c:pt idx="6" formatCode="0%">
                  <c:v>0.75</c:v>
                </c:pt>
                <c:pt idx="7" formatCode="0%">
                  <c:v>0.75</c:v>
                </c:pt>
                <c:pt idx="8" formatCode="0%">
                  <c:v>0.75</c:v>
                </c:pt>
                <c:pt idx="9" formatCode="0%">
                  <c:v>0.75</c:v>
                </c:pt>
                <c:pt idx="10" formatCode="0%">
                  <c:v>0.75</c:v>
                </c:pt>
                <c:pt idx="11" formatCode="0%">
                  <c:v>0.75</c:v>
                </c:pt>
                <c:pt idx="12" formatCode="0%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48-454B-9966-02252CAE6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18584"/>
        <c:axId val="425615840"/>
      </c:lineChart>
      <c:catAx>
        <c:axId val="42561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5840"/>
        <c:crosses val="autoZero"/>
        <c:auto val="1"/>
        <c:lblAlgn val="ctr"/>
        <c:lblOffset val="100"/>
        <c:noMultiLvlLbl val="0"/>
      </c:catAx>
      <c:valAx>
        <c:axId val="4256158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8584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20486368674881"/>
          <c:y val="0.91289617214364938"/>
          <c:w val="0.67355071439648528"/>
          <c:h val="6.425704015367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Evolution du tonnage contribuant total (ktonnes)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155825183966464E-2"/>
          <c:y val="0.18439561556493808"/>
          <c:w val="0.87815138998120257"/>
          <c:h val="0.57958767660112709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marché'!$B$37</c:f>
              <c:strCache>
                <c:ptCount val="1"/>
                <c:pt idx="0">
                  <c:v>Tonnage contribuant - Citeo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marché'!$E$37:$Q$37</c:f>
              <c:numCache>
                <c:formatCode>#,##0</c:formatCode>
                <c:ptCount val="13"/>
                <c:pt idx="0">
                  <c:v>4691.283535429151</c:v>
                </c:pt>
                <c:pt idx="1">
                  <c:v>4659.2419219575104</c:v>
                </c:pt>
                <c:pt idx="2">
                  <c:v>4728.2330012550974</c:v>
                </c:pt>
                <c:pt idx="3">
                  <c:v>4800.7528477572605</c:v>
                </c:pt>
                <c:pt idx="4">
                  <c:v>4726.7469119171128</c:v>
                </c:pt>
                <c:pt idx="5">
                  <c:v>4817.2594680563116</c:v>
                </c:pt>
                <c:pt idx="6">
                  <c:v>4884.8305536320886</c:v>
                </c:pt>
                <c:pt idx="7">
                  <c:v>4961.3248046754225</c:v>
                </c:pt>
                <c:pt idx="8">
                  <c:v>5058.8739352370712</c:v>
                </c:pt>
                <c:pt idx="9">
                  <c:v>5189.7564648279595</c:v>
                </c:pt>
                <c:pt idx="10">
                  <c:v>5250.0167819999997</c:v>
                </c:pt>
                <c:pt idx="11">
                  <c:v>5268.2166829999996</c:v>
                </c:pt>
                <c:pt idx="12">
                  <c:v>5263.0480430000007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E-4010-8BA7-DF0E276C1BBB}"/>
            </c:ext>
          </c:extLst>
        </c:ser>
        <c:ser>
          <c:idx val="1"/>
          <c:order val="1"/>
          <c:tx>
            <c:strRef>
              <c:f>'Mise sur le marché'!$B$59</c:f>
              <c:strCache>
                <c:ptCount val="1"/>
                <c:pt idx="0">
                  <c:v>Tonnage contribuant - Léko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Pt>
            <c:idx val="12"/>
            <c:marker>
              <c:symbol val="circle"/>
              <c:size val="7"/>
              <c:spPr>
                <a:solidFill>
                  <a:schemeClr val="bg1"/>
                </a:solidFill>
                <a:ln w="38100">
                  <a:solidFill>
                    <a:schemeClr val="accent2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DB0-4AAB-A997-B67B23F37C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'Mise sur le marché'!$E$59:$Q$59</c:f>
              <c:numCache>
                <c:formatCode>#,##0</c:formatCode>
                <c:ptCount val="13"/>
                <c:pt idx="11" formatCode="#\ ##0.000">
                  <c:v>3.1870539999999998</c:v>
                </c:pt>
                <c:pt idx="12" formatCode="#\ ##0.000">
                  <c:v>8.9436560000000025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15-4777-99D2-6D59190104C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954496"/>
        <c:axId val="419956456"/>
      </c:lineChart>
      <c:catAx>
        <c:axId val="4199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9956456"/>
        <c:crosses val="autoZero"/>
        <c:auto val="1"/>
        <c:lblAlgn val="ctr"/>
        <c:lblOffset val="100"/>
        <c:noMultiLvlLbl val="0"/>
      </c:catAx>
      <c:valAx>
        <c:axId val="41995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9954496"/>
        <c:crosses val="autoZero"/>
        <c:crossBetween val="between"/>
        <c:majorUnit val="2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82161992231568E-2"/>
          <c:y val="0.899639689663008"/>
          <c:w val="0.81881714628626612"/>
          <c:h val="9.9641688249225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2">
              <a:lumMod val="50000"/>
            </a:schemeClr>
          </a:solidFill>
          <a:latin typeface="Marianne Light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du taux de recyclage des emballages par matériaux</a:t>
            </a:r>
            <a:endParaRPr lang="en-US" sz="1400" b="0">
              <a:solidFill>
                <a:schemeClr val="bg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599101206597508E-2"/>
          <c:y val="0.18241111906466237"/>
          <c:w val="0.8989935721623693"/>
          <c:h val="0.62246115510250521"/>
        </c:manualLayout>
      </c:layout>
      <c:lineChart>
        <c:grouping val="standard"/>
        <c:varyColors val="0"/>
        <c:ser>
          <c:idx val="0"/>
          <c:order val="0"/>
          <c:tx>
            <c:strRef>
              <c:f>'Collecte et tri'!$B$82</c:f>
              <c:strCache>
                <c:ptCount val="1"/>
                <c:pt idx="0">
                  <c:v>Acier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tri'!$E$78:$Q$78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tri'!$E$82:$Q$82</c:f>
              <c:numCache>
                <c:formatCode>0.0%</c:formatCode>
                <c:ptCount val="13"/>
                <c:pt idx="0">
                  <c:v>1.1327382887215391</c:v>
                </c:pt>
                <c:pt idx="1">
                  <c:v>1.1512795849728998</c:v>
                </c:pt>
                <c:pt idx="2">
                  <c:v>1.1711689805435486</c:v>
                </c:pt>
                <c:pt idx="3">
                  <c:v>1.0513776304127633</c:v>
                </c:pt>
                <c:pt idx="4">
                  <c:v>1.0680390926841465</c:v>
                </c:pt>
                <c:pt idx="5">
                  <c:v>1.1423888637643234</c:v>
                </c:pt>
                <c:pt idx="6">
                  <c:v>1.1707639367757421</c:v>
                </c:pt>
                <c:pt idx="7">
                  <c:v>1.2985012226469295</c:v>
                </c:pt>
                <c:pt idx="8">
                  <c:v>1.324500957749595</c:v>
                </c:pt>
                <c:pt idx="9">
                  <c:v>1.2388434191781987</c:v>
                </c:pt>
                <c:pt idx="10">
                  <c:v>1.2392811395768621</c:v>
                </c:pt>
                <c:pt idx="11">
                  <c:v>1.2084524530953713</c:v>
                </c:pt>
                <c:pt idx="12">
                  <c:v>1.2675863710439332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0-4771-9603-A24BC58DDA25}"/>
            </c:ext>
          </c:extLst>
        </c:ser>
        <c:ser>
          <c:idx val="1"/>
          <c:order val="1"/>
          <c:tx>
            <c:strRef>
              <c:f>'Collecte et tri'!$B$83</c:f>
              <c:strCache>
                <c:ptCount val="1"/>
                <c:pt idx="0">
                  <c:v>Aluminium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11"/>
              <c:layout>
                <c:manualLayout>
                  <c:x val="-4.4710277551275997E-2"/>
                  <c:y val="4.076618651571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64-4F10-964F-F7A5D24EDEB1}"/>
                </c:ext>
              </c:extLst>
            </c:dLbl>
            <c:dLbl>
              <c:idx val="12"/>
              <c:layout>
                <c:manualLayout>
                  <c:x val="-2.5542908908034054E-2"/>
                  <c:y val="4.4642227667670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64-4F10-964F-F7A5D24EDE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tri'!$E$78:$Q$78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tri'!$E$83:$Q$83</c:f>
              <c:numCache>
                <c:formatCode>0.0%</c:formatCode>
                <c:ptCount val="13"/>
                <c:pt idx="0">
                  <c:v>0.35074618898682819</c:v>
                </c:pt>
                <c:pt idx="1">
                  <c:v>0.33343835883677464</c:v>
                </c:pt>
                <c:pt idx="2">
                  <c:v>0.3178949569858176</c:v>
                </c:pt>
                <c:pt idx="3">
                  <c:v>0.35115520211353668</c:v>
                </c:pt>
                <c:pt idx="4">
                  <c:v>0.3592314532188412</c:v>
                </c:pt>
                <c:pt idx="5">
                  <c:v>0.38503841791076571</c:v>
                </c:pt>
                <c:pt idx="6">
                  <c:v>0.39185947953684663</c:v>
                </c:pt>
                <c:pt idx="7">
                  <c:v>0.41205826830431103</c:v>
                </c:pt>
                <c:pt idx="8">
                  <c:v>0.44219781213639053</c:v>
                </c:pt>
                <c:pt idx="9">
                  <c:v>0.44512649889340011</c:v>
                </c:pt>
                <c:pt idx="10">
                  <c:v>0.46610850909888613</c:v>
                </c:pt>
                <c:pt idx="11">
                  <c:v>0.55680805092427865</c:v>
                </c:pt>
                <c:pt idx="12">
                  <c:v>0.58016028537790887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1-465B-BFDE-077DB95EE3B3}"/>
            </c:ext>
          </c:extLst>
        </c:ser>
        <c:ser>
          <c:idx val="2"/>
          <c:order val="2"/>
          <c:tx>
            <c:strRef>
              <c:f>'Collecte et tri'!$B$84</c:f>
              <c:strCache>
                <c:ptCount val="1"/>
                <c:pt idx="0">
                  <c:v>Papier/Carton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9"/>
              <c:layout>
                <c:manualLayout>
                  <c:x val="-4.1319045180697636E-2"/>
                  <c:y val="-4.28432126616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D-4BBF-8439-FAF337A12B94}"/>
                </c:ext>
              </c:extLst>
            </c:dLbl>
            <c:dLbl>
              <c:idx val="10"/>
              <c:layout>
                <c:manualLayout>
                  <c:x val="-4.0180730886251688E-2"/>
                  <c:y val="-4.28432126616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D-4BBF-8439-FAF337A12B94}"/>
                </c:ext>
              </c:extLst>
            </c:dLbl>
            <c:dLbl>
              <c:idx val="12"/>
              <c:layout>
                <c:manualLayout>
                  <c:x val="-9.0411704311224442E-4"/>
                  <c:y val="-1.83205517276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27-4CEB-AEED-EE4831FC37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tri'!$E$78:$Q$78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tri'!$E$84:$Q$84</c:f>
              <c:numCache>
                <c:formatCode>0.0%</c:formatCode>
                <c:ptCount val="13"/>
                <c:pt idx="0">
                  <c:v>0.53656792219634097</c:v>
                </c:pt>
                <c:pt idx="1">
                  <c:v>0.55120487879141933</c:v>
                </c:pt>
                <c:pt idx="2">
                  <c:v>0.63641378640855073</c:v>
                </c:pt>
                <c:pt idx="3">
                  <c:v>0.62699800045628862</c:v>
                </c:pt>
                <c:pt idx="4">
                  <c:v>0.6399139881018383</c:v>
                </c:pt>
                <c:pt idx="5">
                  <c:v>0.63769435717818013</c:v>
                </c:pt>
                <c:pt idx="6">
                  <c:v>0.64479029871895333</c:v>
                </c:pt>
                <c:pt idx="7">
                  <c:v>0.63789246776093433</c:v>
                </c:pt>
                <c:pt idx="8">
                  <c:v>0.63163054693090226</c:v>
                </c:pt>
                <c:pt idx="9">
                  <c:v>0.66849161621236863</c:v>
                </c:pt>
                <c:pt idx="10">
                  <c:v>0.68083438956855491</c:v>
                </c:pt>
                <c:pt idx="11">
                  <c:v>0.65151534558571045</c:v>
                </c:pt>
                <c:pt idx="12">
                  <c:v>0.71748982681661977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1-465B-BFDE-077DB95EE3B3}"/>
            </c:ext>
          </c:extLst>
        </c:ser>
        <c:ser>
          <c:idx val="3"/>
          <c:order val="3"/>
          <c:tx>
            <c:strRef>
              <c:f>'Collecte et tri'!$B$87</c:f>
              <c:strCache>
                <c:ptCount val="1"/>
                <c:pt idx="0">
                  <c:v>Plastique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tri'!$E$78:$Q$78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tri'!$E$87:$Q$87</c:f>
              <c:numCache>
                <c:formatCode>0.0%</c:formatCode>
                <c:ptCount val="13"/>
                <c:pt idx="0">
                  <c:v>0.21924413702548318</c:v>
                </c:pt>
                <c:pt idx="1">
                  <c:v>0.21725934059075364</c:v>
                </c:pt>
                <c:pt idx="2">
                  <c:v>0.21922924133759453</c:v>
                </c:pt>
                <c:pt idx="3">
                  <c:v>0.22588404989492711</c:v>
                </c:pt>
                <c:pt idx="4">
                  <c:v>0.23169227443443766</c:v>
                </c:pt>
                <c:pt idx="5">
                  <c:v>0.23217768500621408</c:v>
                </c:pt>
                <c:pt idx="6">
                  <c:v>0.23705253299458037</c:v>
                </c:pt>
                <c:pt idx="7">
                  <c:v>0.24456081722020578</c:v>
                </c:pt>
                <c:pt idx="8">
                  <c:v>0.25589701165607798</c:v>
                </c:pt>
                <c:pt idx="9">
                  <c:v>0.26865013990538206</c:v>
                </c:pt>
                <c:pt idx="10">
                  <c:v>0.27778742657443461</c:v>
                </c:pt>
                <c:pt idx="11">
                  <c:v>0.27907190724237574</c:v>
                </c:pt>
                <c:pt idx="12">
                  <c:v>0.30067306096192764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01-465B-BFDE-077DB95EE3B3}"/>
            </c:ext>
          </c:extLst>
        </c:ser>
        <c:ser>
          <c:idx val="4"/>
          <c:order val="4"/>
          <c:tx>
            <c:strRef>
              <c:f>'Collecte et tri'!$B$90</c:f>
              <c:strCache>
                <c:ptCount val="1"/>
                <c:pt idx="0">
                  <c:v>Verre</c:v>
                </c:pt>
              </c:strCache>
              <c:extLst xmlns:c15="http://schemas.microsoft.com/office/drawing/2012/chart"/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4"/>
              <c:layout>
                <c:manualLayout>
                  <c:x val="-4.1309792943607905E-2"/>
                  <c:y val="-4.693032281733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27-4CEB-AEED-EE4831FC37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tri'!$E$78:$Q$78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tri'!$E$90:$Q$90</c:f>
              <c:numCache>
                <c:formatCode>0.0%</c:formatCode>
                <c:ptCount val="13"/>
                <c:pt idx="0">
                  <c:v>0.79173735619398222</c:v>
                </c:pt>
                <c:pt idx="1">
                  <c:v>0.81529492986041641</c:v>
                </c:pt>
                <c:pt idx="2">
                  <c:v>0.82051315306669537</c:v>
                </c:pt>
                <c:pt idx="3">
                  <c:v>0.83185076866232222</c:v>
                </c:pt>
                <c:pt idx="4">
                  <c:v>0.87015631822251682</c:v>
                </c:pt>
                <c:pt idx="5">
                  <c:v>0.85138304975020329</c:v>
                </c:pt>
                <c:pt idx="6">
                  <c:v>0.84203642509192167</c:v>
                </c:pt>
                <c:pt idx="7">
                  <c:v>0.85366229861587162</c:v>
                </c:pt>
                <c:pt idx="8">
                  <c:v>0.84897102966381943</c:v>
                </c:pt>
                <c:pt idx="9">
                  <c:v>0.83474019859679049</c:v>
                </c:pt>
                <c:pt idx="10">
                  <c:v>0.83985046029637911</c:v>
                </c:pt>
                <c:pt idx="11">
                  <c:v>0.87134916454337452</c:v>
                </c:pt>
                <c:pt idx="12">
                  <c:v>0.87970056892497028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E401-465B-BFDE-077DB95EE3B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5616232"/>
        <c:axId val="425615448"/>
        <c:extLst/>
      </c:lineChart>
      <c:catAx>
        <c:axId val="42561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5448"/>
        <c:crosses val="autoZero"/>
        <c:auto val="1"/>
        <c:lblAlgn val="ctr"/>
        <c:lblOffset val="100"/>
        <c:noMultiLvlLbl val="0"/>
      </c:catAx>
      <c:valAx>
        <c:axId val="42561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6232"/>
        <c:crosses val="autoZero"/>
        <c:crossBetween val="between"/>
        <c:majorUnit val="0.30000000000000004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des tonnages totaux recyclés et soutenus (kt)</a:t>
            </a:r>
            <a:endParaRPr lang="en-US" sz="14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6024541187402544"/>
          <c:y val="1.9600447851595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0285533724943824E-2"/>
          <c:y val="0.1563504163127282"/>
          <c:w val="0.88032924571843785"/>
          <c:h val="0.69999359662286853"/>
        </c:manualLayout>
      </c:layout>
      <c:lineChart>
        <c:grouping val="standard"/>
        <c:varyColors val="0"/>
        <c:ser>
          <c:idx val="0"/>
          <c:order val="0"/>
          <c:tx>
            <c:strRef>
              <c:f>'Collecte et tri'!$B$25</c:f>
              <c:strCache>
                <c:ptCount val="1"/>
                <c:pt idx="0">
                  <c:v>Tonnages recyclés et soutenus - Total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tri'!$E$25:$Q$25</c:f>
              <c:numCache>
                <c:formatCode>#,##0</c:formatCode>
                <c:ptCount val="13"/>
                <c:pt idx="0">
                  <c:v>2949.947549</c:v>
                </c:pt>
                <c:pt idx="1">
                  <c:v>2972.3062959999988</c:v>
                </c:pt>
                <c:pt idx="2">
                  <c:v>3115.5334912166472</c:v>
                </c:pt>
                <c:pt idx="3">
                  <c:v>3145.2694819999879</c:v>
                </c:pt>
                <c:pt idx="4">
                  <c:v>3181.3233179999947</c:v>
                </c:pt>
                <c:pt idx="5">
                  <c:v>3217.3378702494051</c:v>
                </c:pt>
                <c:pt idx="6">
                  <c:v>3256.6490111999956</c:v>
                </c:pt>
                <c:pt idx="7">
                  <c:v>3355.1238159999975</c:v>
                </c:pt>
                <c:pt idx="8">
                  <c:v>3416.6069121849955</c:v>
                </c:pt>
                <c:pt idx="9">
                  <c:v>3527.0152353464919</c:v>
                </c:pt>
                <c:pt idx="10">
                  <c:v>3614.3613809000008</c:v>
                </c:pt>
                <c:pt idx="11">
                  <c:v>3672.7386900000001</c:v>
                </c:pt>
                <c:pt idx="12">
                  <c:v>3811.5573899999999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6F-4B32-BCF3-76992A70A2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7074752"/>
        <c:axId val="427077104"/>
      </c:lineChart>
      <c:catAx>
        <c:axId val="4270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7104"/>
        <c:crosses val="autoZero"/>
        <c:auto val="1"/>
        <c:lblAlgn val="ctr"/>
        <c:lblOffset val="100"/>
        <c:noMultiLvlLbl val="0"/>
      </c:catAx>
      <c:valAx>
        <c:axId val="42707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4752"/>
        <c:crosses val="autoZero"/>
        <c:crossBetween val="between"/>
        <c:majorUnit val="10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des tonnages d'emballages légers recyclés issus de la collecte sélective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'Collecte et tri'!$B$26</c:f>
              <c:strCache>
                <c:ptCount val="1"/>
                <c:pt idx="0">
                  <c:v>  Acier CS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tri'!$E$18:$Q$18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tri'!$E$26:$Q$26</c:f>
              <c:numCache>
                <c:formatCode>#,##0</c:formatCode>
                <c:ptCount val="13"/>
                <c:pt idx="0">
                  <c:v>90.364546999999803</c:v>
                </c:pt>
                <c:pt idx="1">
                  <c:v>93.665949999999896</c:v>
                </c:pt>
                <c:pt idx="2">
                  <c:v>95.444723999999837</c:v>
                </c:pt>
                <c:pt idx="3">
                  <c:v>98.854710999999796</c:v>
                </c:pt>
                <c:pt idx="4">
                  <c:v>101.91183299999989</c:v>
                </c:pt>
                <c:pt idx="5">
                  <c:v>99.375330999999846</c:v>
                </c:pt>
                <c:pt idx="6">
                  <c:v>99.649917999999801</c:v>
                </c:pt>
                <c:pt idx="7">
                  <c:v>104.14478999999977</c:v>
                </c:pt>
                <c:pt idx="8">
                  <c:v>105.06440699999987</c:v>
                </c:pt>
                <c:pt idx="9">
                  <c:v>102.48231699999999</c:v>
                </c:pt>
                <c:pt idx="10">
                  <c:v>106.03128</c:v>
                </c:pt>
                <c:pt idx="11">
                  <c:v>110.76048999999993</c:v>
                </c:pt>
                <c:pt idx="12">
                  <c:v>112.22945999999995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BE-4479-9519-E3716F52AE59}"/>
            </c:ext>
          </c:extLst>
        </c:ser>
        <c:ser>
          <c:idx val="2"/>
          <c:order val="2"/>
          <c:tx>
            <c:strRef>
              <c:f>'Collecte et tri'!$B$28</c:f>
              <c:strCache>
                <c:ptCount val="1"/>
                <c:pt idx="0">
                  <c:v>  Aluminium CS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382871143627773E-2"/>
                  <c:y val="-2.950107490386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3-4E65-96B2-451963504EFA}"/>
                </c:ext>
              </c:extLst>
            </c:dLbl>
            <c:dLbl>
              <c:idx val="1"/>
              <c:layout>
                <c:manualLayout>
                  <c:x val="-4.5182823129251704E-2"/>
                  <c:y val="-2.5409883720930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3-4E65-96B2-451963504EFA}"/>
                </c:ext>
              </c:extLst>
            </c:dLbl>
            <c:dLbl>
              <c:idx val="2"/>
              <c:layout>
                <c:manualLayout>
                  <c:x val="-3.9768011394493347E-2"/>
                  <c:y val="-3.3614144815038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3-4E65-96B2-451963504EFA}"/>
                </c:ext>
              </c:extLst>
            </c:dLbl>
            <c:dLbl>
              <c:idx val="3"/>
              <c:layout>
                <c:manualLayout>
                  <c:x val="-3.9768011394493347E-2"/>
                  <c:y val="-2.950107490386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3-4E65-96B2-451963504EFA}"/>
                </c:ext>
              </c:extLst>
            </c:dLbl>
            <c:dLbl>
              <c:idx val="4"/>
              <c:layout>
                <c:manualLayout>
                  <c:x val="-4.1575441269060626E-2"/>
                  <c:y val="-2.950107490386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3-4E65-96B2-451963504EFA}"/>
                </c:ext>
              </c:extLst>
            </c:dLbl>
            <c:dLbl>
              <c:idx val="5"/>
              <c:layout>
                <c:manualLayout>
                  <c:x val="-4.1575441269060494E-2"/>
                  <c:y val="-3.3614144815038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3-4E65-96B2-451963504EFA}"/>
                </c:ext>
              </c:extLst>
            </c:dLbl>
            <c:dLbl>
              <c:idx val="6"/>
              <c:layout>
                <c:manualLayout>
                  <c:x val="-4.5190301018195052E-2"/>
                  <c:y val="-2.950107490386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B3-4E65-96B2-451963504EFA}"/>
                </c:ext>
              </c:extLst>
            </c:dLbl>
            <c:dLbl>
              <c:idx val="7"/>
              <c:layout>
                <c:manualLayout>
                  <c:x val="-4.9713429858627804E-2"/>
                  <c:y val="-3.3614144815038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3-4E65-96B2-451963504EFA}"/>
                </c:ext>
              </c:extLst>
            </c:dLbl>
            <c:dLbl>
              <c:idx val="8"/>
              <c:layout>
                <c:manualLayout>
                  <c:x val="-5.1520859733195021E-2"/>
                  <c:y val="-3.3614144815038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B3-4E65-96B2-451963504EFA}"/>
                </c:ext>
              </c:extLst>
            </c:dLbl>
            <c:dLbl>
              <c:idx val="9"/>
              <c:layout>
                <c:manualLayout>
                  <c:x val="-5.1520859733195021E-2"/>
                  <c:y val="-3.3614144815038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3-4E65-96B2-451963504EFA}"/>
                </c:ext>
              </c:extLst>
            </c:dLbl>
            <c:dLbl>
              <c:idx val="10"/>
              <c:layout>
                <c:manualLayout>
                  <c:x val="-5.3328289607762099E-2"/>
                  <c:y val="-2.5388004992683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B3-4E65-96B2-451963504EFA}"/>
                </c:ext>
              </c:extLst>
            </c:dLbl>
            <c:dLbl>
              <c:idx val="11"/>
              <c:layout>
                <c:manualLayout>
                  <c:x val="-4.6311807003749157E-2"/>
                  <c:y val="-3.5022209102692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B-4203-A3D1-1D878B2EE035}"/>
                </c:ext>
              </c:extLst>
            </c:dLbl>
            <c:dLbl>
              <c:idx val="12"/>
              <c:layout>
                <c:manualLayout>
                  <c:x val="-5.2034929333571921E-2"/>
                  <c:y val="-3.2866979467595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15-47DB-A181-E75B77EF6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tri'!$E$18:$Q$18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tri'!$E$28:$Q$28</c:f>
              <c:numCache>
                <c:formatCode>#,##0</c:formatCode>
                <c:ptCount val="13"/>
                <c:pt idx="0">
                  <c:v>5.2268649999999903</c:v>
                </c:pt>
                <c:pt idx="1">
                  <c:v>5.6118709999999901</c:v>
                </c:pt>
                <c:pt idx="2">
                  <c:v>5.8809949999999862</c:v>
                </c:pt>
                <c:pt idx="3">
                  <c:v>6.4166629999999909</c:v>
                </c:pt>
                <c:pt idx="4">
                  <c:v>6.3483899999999975</c:v>
                </c:pt>
                <c:pt idx="5">
                  <c:v>7.6572219999999964</c:v>
                </c:pt>
                <c:pt idx="6">
                  <c:v>8.4988769999999931</c:v>
                </c:pt>
                <c:pt idx="7">
                  <c:v>9.5875179999999922</c:v>
                </c:pt>
                <c:pt idx="8">
                  <c:v>11.089235999999989</c:v>
                </c:pt>
                <c:pt idx="9">
                  <c:v>11.591087999999999</c:v>
                </c:pt>
                <c:pt idx="10">
                  <c:v>12.698729999999999</c:v>
                </c:pt>
                <c:pt idx="11">
                  <c:v>13.915929999999999</c:v>
                </c:pt>
                <c:pt idx="12">
                  <c:v>17.160679999999999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E-4479-9519-E3716F52AE59}"/>
            </c:ext>
          </c:extLst>
        </c:ser>
        <c:ser>
          <c:idx val="4"/>
          <c:order val="4"/>
          <c:tx>
            <c:strRef>
              <c:f>'Collecte et tri'!$B$30</c:f>
              <c:strCache>
                <c:ptCount val="1"/>
                <c:pt idx="0">
                  <c:v>  Papier/Carton CS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tri'!$E$18:$Q$18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tri'!$E$30:$Q$30</c:f>
              <c:numCache>
                <c:formatCode>#,##0</c:formatCode>
                <c:ptCount val="13"/>
                <c:pt idx="0">
                  <c:v>478.81338599999998</c:v>
                </c:pt>
                <c:pt idx="1">
                  <c:v>500.33569299999891</c:v>
                </c:pt>
                <c:pt idx="2">
                  <c:v>594.24441799999909</c:v>
                </c:pt>
                <c:pt idx="3">
                  <c:v>626.73017199999799</c:v>
                </c:pt>
                <c:pt idx="4">
                  <c:v>644.89176799999905</c:v>
                </c:pt>
                <c:pt idx="5">
                  <c:v>655.04587900000013</c:v>
                </c:pt>
                <c:pt idx="6">
                  <c:v>662.26120199999843</c:v>
                </c:pt>
                <c:pt idx="7">
                  <c:v>679.94407099999898</c:v>
                </c:pt>
                <c:pt idx="8">
                  <c:v>691.39660799999899</c:v>
                </c:pt>
                <c:pt idx="9">
                  <c:v>759.7160230900065</c:v>
                </c:pt>
                <c:pt idx="10">
                  <c:v>782.23369000000002</c:v>
                </c:pt>
                <c:pt idx="11">
                  <c:v>760.96821999999963</c:v>
                </c:pt>
                <c:pt idx="12">
                  <c:v>830.66271999999992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BE-4479-9519-E3716F52AE59}"/>
            </c:ext>
          </c:extLst>
        </c:ser>
        <c:ser>
          <c:idx val="6"/>
          <c:order val="6"/>
          <c:tx>
            <c:strRef>
              <c:f>'Collecte et tri'!$B$37</c:f>
              <c:strCache>
                <c:ptCount val="1"/>
                <c:pt idx="0">
                  <c:v>  Plastique CS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tri'!$E$18:$Q$18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tri'!$E$37:$Q$37</c:f>
              <c:numCache>
                <c:formatCode>#,##0</c:formatCode>
                <c:ptCount val="13"/>
                <c:pt idx="0">
                  <c:v>226.224278</c:v>
                </c:pt>
                <c:pt idx="1">
                  <c:v>230.45970499999999</c:v>
                </c:pt>
                <c:pt idx="2">
                  <c:v>233.79793299999966</c:v>
                </c:pt>
                <c:pt idx="3">
                  <c:v>242.72026200000002</c:v>
                </c:pt>
                <c:pt idx="4">
                  <c:v>251.07771799999966</c:v>
                </c:pt>
                <c:pt idx="5">
                  <c:v>255.61007099999958</c:v>
                </c:pt>
                <c:pt idx="6">
                  <c:v>265.90481499999999</c:v>
                </c:pt>
                <c:pt idx="7">
                  <c:v>279.88404499999996</c:v>
                </c:pt>
                <c:pt idx="8">
                  <c:v>295.32209699999953</c:v>
                </c:pt>
                <c:pt idx="9">
                  <c:v>309.02581795648524</c:v>
                </c:pt>
                <c:pt idx="10">
                  <c:v>319.38232999999997</c:v>
                </c:pt>
                <c:pt idx="11">
                  <c:v>325.23880000000003</c:v>
                </c:pt>
                <c:pt idx="12">
                  <c:v>352.88397999999984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BE-4479-9519-E3716F52A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77496"/>
        <c:axId val="42707945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'Collecte et tri'!$B$27</c15:sqref>
                        </c15:formulaRef>
                      </c:ext>
                    </c:extLst>
                    <c:strCache>
                      <c:ptCount val="1"/>
                      <c:pt idx="0">
                        <c:v>  Acier mâchefers, compost et TMB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'Collecte et tri'!$I$27:$M$27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217.89672799999985</c:v>
                      </c:pt>
                      <c:pt idx="1">
                        <c:v>219.09859724940577</c:v>
                      </c:pt>
                      <c:pt idx="2">
                        <c:v>221.16979119999962</c:v>
                      </c:pt>
                      <c:pt idx="3">
                        <c:v>226.18382299999971</c:v>
                      </c:pt>
                      <c:pt idx="4">
                        <c:v>229.04514590499974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54BE-4479-9519-E3716F52AE5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tri'!$B$29</c15:sqref>
                        </c15:formulaRef>
                      </c:ext>
                    </c:extLst>
                    <c:strCache>
                      <c:ptCount val="1"/>
                      <c:pt idx="0">
                        <c:v>  Aluminium mâchefers, compost et TMB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tri'!$I$29:$M$29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17.399575000000002</c:v>
                      </c:pt>
                      <c:pt idx="1">
                        <c:v>18.19665299999998</c:v>
                      </c:pt>
                      <c:pt idx="2">
                        <c:v>19.710036999999982</c:v>
                      </c:pt>
                      <c:pt idx="3">
                        <c:v>22.834107999999976</c:v>
                      </c:pt>
                      <c:pt idx="4">
                        <c:v>26.09667127999996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4BE-4479-9519-E3716F52AE5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tri'!$B$36</c15:sqref>
                        </c15:formulaRef>
                      </c:ext>
                    </c:extLst>
                    <c:strCache>
                      <c:ptCount val="1"/>
                      <c:pt idx="0">
                        <c:v>  Papier/Carton compost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tri'!$I$36:$M$36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10.785301999999987</c:v>
                      </c:pt>
                      <c:pt idx="1">
                        <c:v>12.896214999999991</c:v>
                      </c:pt>
                      <c:pt idx="2">
                        <c:v>16.273406999999999</c:v>
                      </c:pt>
                      <c:pt idx="3">
                        <c:v>16.568430999999986</c:v>
                      </c:pt>
                      <c:pt idx="4">
                        <c:v>15.950165999999976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4BE-4479-9519-E3716F52AE5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tri'!$B$58</c15:sqref>
                        </c15:formulaRef>
                      </c:ext>
                    </c:extLst>
                    <c:strCache>
                      <c:ptCount val="1"/>
                      <c:pt idx="0">
                        <c:v>  Plastique TMB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tri'!$I$58:$M$58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1.1499710000000001</c:v>
                      </c:pt>
                      <c:pt idx="1">
                        <c:v>0.83865400000000001</c:v>
                      </c:pt>
                      <c:pt idx="2">
                        <c:v>0.77536700000000003</c:v>
                      </c:pt>
                      <c:pt idx="3">
                        <c:v>0.65700000000000003</c:v>
                      </c:pt>
                      <c:pt idx="4">
                        <c:v>1.0442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4BE-4479-9519-E3716F52AE59}"/>
                  </c:ext>
                </c:extLst>
              </c15:ser>
            </c15:filteredLineSeries>
          </c:ext>
        </c:extLst>
      </c:lineChart>
      <c:catAx>
        <c:axId val="42707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9456"/>
        <c:crosses val="autoZero"/>
        <c:auto val="1"/>
        <c:lblAlgn val="ctr"/>
        <c:lblOffset val="100"/>
        <c:noMultiLvlLbl val="0"/>
      </c:catAx>
      <c:valAx>
        <c:axId val="42707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749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des tonnages recyclés de verre issus de la collecte sélective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1616501305734168E-2"/>
          <c:y val="0.2350908206324008"/>
          <c:w val="0.89738775014548233"/>
          <c:h val="0.57551361001110668"/>
        </c:manualLayout>
      </c:layout>
      <c:lineChart>
        <c:grouping val="standard"/>
        <c:varyColors val="0"/>
        <c:ser>
          <c:idx val="8"/>
          <c:order val="8"/>
          <c:tx>
            <c:strRef>
              <c:f>'Collecte et tri'!$B$59</c:f>
              <c:strCache>
                <c:ptCount val="1"/>
                <c:pt idx="0">
                  <c:v>  Verre CS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tri'!$E$18:$Q$18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tri'!$E$59:$Q$59</c:f>
              <c:numCache>
                <c:formatCode>#,##0</c:formatCode>
                <c:ptCount val="13"/>
                <c:pt idx="0">
                  <c:v>1895.2861559999999</c:v>
                </c:pt>
                <c:pt idx="1">
                  <c:v>1890.4232360000001</c:v>
                </c:pt>
                <c:pt idx="2">
                  <c:v>1920.7506819999987</c:v>
                </c:pt>
                <c:pt idx="3">
                  <c:v>1909.97468399999</c:v>
                </c:pt>
                <c:pt idx="4">
                  <c:v>1929.8620329999967</c:v>
                </c:pt>
                <c:pt idx="5">
                  <c:v>1948.6192479999995</c:v>
                </c:pt>
                <c:pt idx="6">
                  <c:v>1961.8505169999976</c:v>
                </c:pt>
                <c:pt idx="7">
                  <c:v>2012.817334999999</c:v>
                </c:pt>
                <c:pt idx="8">
                  <c:v>2038.5402809999975</c:v>
                </c:pt>
                <c:pt idx="9">
                  <c:v>2099.7688484</c:v>
                </c:pt>
                <c:pt idx="10">
                  <c:v>2148.6905700000002</c:v>
                </c:pt>
                <c:pt idx="11">
                  <c:v>2211.3980700000002</c:v>
                </c:pt>
                <c:pt idx="12">
                  <c:v>2251.7557300000003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5-4A8D-BDEE-B64D4291C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73968"/>
        <c:axId val="4270782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'Collecte et tri'!$B$26</c15:sqref>
                        </c15:formulaRef>
                      </c:ext>
                    </c:extLst>
                    <c:strCache>
                      <c:ptCount val="1"/>
                      <c:pt idx="0">
                        <c:v>  Acier CS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'Collecte et tri'!$I$26:$M$26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101.91183299999989</c:v>
                      </c:pt>
                      <c:pt idx="1">
                        <c:v>99.375330999999846</c:v>
                      </c:pt>
                      <c:pt idx="2">
                        <c:v>99.649917999999801</c:v>
                      </c:pt>
                      <c:pt idx="3">
                        <c:v>104.14478999999977</c:v>
                      </c:pt>
                      <c:pt idx="4">
                        <c:v>105.06440699999987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035-4A8D-BDEE-B64D4291CB0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tri'!$B$27</c15:sqref>
                        </c15:formulaRef>
                      </c:ext>
                    </c:extLst>
                    <c:strCache>
                      <c:ptCount val="1"/>
                      <c:pt idx="0">
                        <c:v>  Acier mâchefers, compost et TMB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tri'!$I$27:$M$27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217.89672799999985</c:v>
                      </c:pt>
                      <c:pt idx="1">
                        <c:v>219.09859724940577</c:v>
                      </c:pt>
                      <c:pt idx="2">
                        <c:v>221.16979119999962</c:v>
                      </c:pt>
                      <c:pt idx="3">
                        <c:v>226.18382299999971</c:v>
                      </c:pt>
                      <c:pt idx="4">
                        <c:v>229.04514590499974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035-4A8D-BDEE-B64D4291CB0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tri'!$B$28</c15:sqref>
                        </c15:formulaRef>
                      </c:ext>
                    </c:extLst>
                    <c:strCache>
                      <c:ptCount val="1"/>
                      <c:pt idx="0">
                        <c:v>  Aluminium CS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tri'!$I$28:$M$28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6.3483899999999975</c:v>
                      </c:pt>
                      <c:pt idx="1">
                        <c:v>7.6572219999999964</c:v>
                      </c:pt>
                      <c:pt idx="2">
                        <c:v>8.4988769999999931</c:v>
                      </c:pt>
                      <c:pt idx="3">
                        <c:v>9.5875179999999922</c:v>
                      </c:pt>
                      <c:pt idx="4">
                        <c:v>11.089235999999989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035-4A8D-BDEE-B64D4291CB0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tri'!$B$29</c15:sqref>
                        </c15:formulaRef>
                      </c:ext>
                    </c:extLst>
                    <c:strCache>
                      <c:ptCount val="1"/>
                      <c:pt idx="0">
                        <c:v>  Aluminium mâchefers, compost et TMB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tri'!$I$29:$M$29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17.399575000000002</c:v>
                      </c:pt>
                      <c:pt idx="1">
                        <c:v>18.19665299999998</c:v>
                      </c:pt>
                      <c:pt idx="2">
                        <c:v>19.710036999999982</c:v>
                      </c:pt>
                      <c:pt idx="3">
                        <c:v>22.834107999999976</c:v>
                      </c:pt>
                      <c:pt idx="4">
                        <c:v>26.09667127999996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035-4A8D-BDEE-B64D4291CB0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tri'!$B$30</c15:sqref>
                        </c15:formulaRef>
                      </c:ext>
                    </c:extLst>
                    <c:strCache>
                      <c:ptCount val="1"/>
                      <c:pt idx="0">
                        <c:v>  Papier/Carton CS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tri'!$I$30:$M$30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644.89176799999905</c:v>
                      </c:pt>
                      <c:pt idx="1">
                        <c:v>655.04587900000013</c:v>
                      </c:pt>
                      <c:pt idx="2">
                        <c:v>662.26120199999843</c:v>
                      </c:pt>
                      <c:pt idx="3">
                        <c:v>679.94407099999898</c:v>
                      </c:pt>
                      <c:pt idx="4">
                        <c:v>691.39660799999899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035-4A8D-BDEE-B64D4291CB0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tri'!$B$36</c15:sqref>
                        </c15:formulaRef>
                      </c:ext>
                    </c:extLst>
                    <c:strCache>
                      <c:ptCount val="1"/>
                      <c:pt idx="0">
                        <c:v>  Papier/Carton compost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tri'!$I$36:$M$36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10.785301999999987</c:v>
                      </c:pt>
                      <c:pt idx="1">
                        <c:v>12.896214999999991</c:v>
                      </c:pt>
                      <c:pt idx="2">
                        <c:v>16.273406999999999</c:v>
                      </c:pt>
                      <c:pt idx="3">
                        <c:v>16.568430999999986</c:v>
                      </c:pt>
                      <c:pt idx="4">
                        <c:v>15.950165999999976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035-4A8D-BDEE-B64D4291CB03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tri'!$B$37</c15:sqref>
                        </c15:formulaRef>
                      </c:ext>
                    </c:extLst>
                    <c:strCache>
                      <c:ptCount val="1"/>
                      <c:pt idx="0">
                        <c:v>  Plastique CS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tri'!$I$37:$M$37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251.07771799999966</c:v>
                      </c:pt>
                      <c:pt idx="1">
                        <c:v>255.61007099999958</c:v>
                      </c:pt>
                      <c:pt idx="2">
                        <c:v>265.90481499999999</c:v>
                      </c:pt>
                      <c:pt idx="3">
                        <c:v>279.88404499999996</c:v>
                      </c:pt>
                      <c:pt idx="4">
                        <c:v>295.32209699999953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035-4A8D-BDEE-B64D4291CB0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tri'!$B$58</c15:sqref>
                        </c15:formulaRef>
                      </c:ext>
                    </c:extLst>
                    <c:strCache>
                      <c:ptCount val="1"/>
                      <c:pt idx="0">
                        <c:v>  Plastique TMB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tri'!$I$58:$M$58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1.1499710000000001</c:v>
                      </c:pt>
                      <c:pt idx="1">
                        <c:v>0.83865400000000001</c:v>
                      </c:pt>
                      <c:pt idx="2">
                        <c:v>0.77536700000000003</c:v>
                      </c:pt>
                      <c:pt idx="3">
                        <c:v>0.65700000000000003</c:v>
                      </c:pt>
                      <c:pt idx="4">
                        <c:v>1.0442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035-4A8D-BDEE-B64D4291CB03}"/>
                  </c:ext>
                </c:extLst>
              </c15:ser>
            </c15:filteredLineSeries>
          </c:ext>
        </c:extLst>
      </c:lineChart>
      <c:catAx>
        <c:axId val="42707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8280"/>
        <c:crosses val="autoZero"/>
        <c:auto val="1"/>
        <c:lblAlgn val="ctr"/>
        <c:lblOffset val="100"/>
        <c:noMultiLvlLbl val="0"/>
      </c:catAx>
      <c:valAx>
        <c:axId val="42707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396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631228688638917"/>
          <c:y val="0.889534838643399"/>
          <c:w val="0.15119283505427333"/>
          <c:h val="9.8156741428203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tonnages d'emballages légers recyclés issus des mâchefers, TMB ou compost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669474928127061E-2"/>
          <c:y val="0.21029266896172144"/>
          <c:w val="0.85712092238526705"/>
          <c:h val="0.53918739501045676"/>
        </c:manualLayout>
      </c:layout>
      <c:lineChart>
        <c:grouping val="standard"/>
        <c:varyColors val="0"/>
        <c:ser>
          <c:idx val="1"/>
          <c:order val="1"/>
          <c:tx>
            <c:strRef>
              <c:f>'Collecte et tri'!$B$27</c:f>
              <c:strCache>
                <c:ptCount val="1"/>
                <c:pt idx="0">
                  <c:v>  Acier mâchefers, compost et TMB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3.4936628132529957E-2"/>
                  <c:y val="3.3334390026061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EC-4FF5-B8C4-CAA52E251C9E}"/>
                </c:ext>
              </c:extLst>
            </c:dLbl>
            <c:dLbl>
              <c:idx val="10"/>
              <c:layout>
                <c:manualLayout>
                  <c:x val="-3.210291463845627E-2"/>
                  <c:y val="3.51535495714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E6-4C04-B33B-F7C5DE2F423C}"/>
                </c:ext>
              </c:extLst>
            </c:dLbl>
            <c:dLbl>
              <c:idx val="12"/>
              <c:layout>
                <c:manualLayout>
                  <c:x val="-3.3275105867893562E-2"/>
                  <c:y val="3.884712690579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45-4610-B307-DB450EA41D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tri'!$E$18:$Q$18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tri'!$E$27:$Q$27</c:f>
              <c:numCache>
                <c:formatCode>#,##0</c:formatCode>
                <c:ptCount val="13"/>
                <c:pt idx="0">
                  <c:v>232.933053</c:v>
                </c:pt>
                <c:pt idx="1">
                  <c:v>230</c:v>
                </c:pt>
                <c:pt idx="2">
                  <c:v>240.63373921664981</c:v>
                </c:pt>
                <c:pt idx="3">
                  <c:v>230.93630999999999</c:v>
                </c:pt>
                <c:pt idx="4">
                  <c:v>217.89672799999985</c:v>
                </c:pt>
                <c:pt idx="5">
                  <c:v>219.09859724940577</c:v>
                </c:pt>
                <c:pt idx="6">
                  <c:v>221.16979119999962</c:v>
                </c:pt>
                <c:pt idx="7">
                  <c:v>226.18382299999971</c:v>
                </c:pt>
                <c:pt idx="8">
                  <c:v>229.04514590499974</c:v>
                </c:pt>
                <c:pt idx="9">
                  <c:v>213.58992400000002</c:v>
                </c:pt>
                <c:pt idx="10">
                  <c:v>211.91248999999999</c:v>
                </c:pt>
                <c:pt idx="11">
                  <c:v>213.12608000000003</c:v>
                </c:pt>
                <c:pt idx="12">
                  <c:v>210.32293999999999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8-4C7B-971B-65E308929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74360"/>
        <c:axId val="4270810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'Collecte et tri'!$B$26</c15:sqref>
                        </c15:formulaRef>
                      </c:ext>
                    </c:extLst>
                    <c:strCache>
                      <c:ptCount val="1"/>
                      <c:pt idx="0">
                        <c:v>  Acier CS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'Collecte et tri'!$I$26:$M$26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101.91183299999989</c:v>
                      </c:pt>
                      <c:pt idx="1">
                        <c:v>99.375330999999846</c:v>
                      </c:pt>
                      <c:pt idx="2">
                        <c:v>99.649917999999801</c:v>
                      </c:pt>
                      <c:pt idx="3">
                        <c:v>104.14478999999977</c:v>
                      </c:pt>
                      <c:pt idx="4">
                        <c:v>105.06440699999987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7338-4C7B-971B-65E308929C5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tri'!$B$28</c15:sqref>
                        </c15:formulaRef>
                      </c:ext>
                    </c:extLst>
                    <c:strCache>
                      <c:ptCount val="1"/>
                      <c:pt idx="0">
                        <c:v>  Aluminium CS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tri'!$I$28:$M$28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6.3483899999999975</c:v>
                      </c:pt>
                      <c:pt idx="1">
                        <c:v>7.6572219999999964</c:v>
                      </c:pt>
                      <c:pt idx="2">
                        <c:v>8.4988769999999931</c:v>
                      </c:pt>
                      <c:pt idx="3">
                        <c:v>9.5875179999999922</c:v>
                      </c:pt>
                      <c:pt idx="4">
                        <c:v>11.089235999999989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338-4C7B-971B-65E308929C5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tri'!$B$30</c15:sqref>
                        </c15:formulaRef>
                      </c:ext>
                    </c:extLst>
                    <c:strCache>
                      <c:ptCount val="1"/>
                      <c:pt idx="0">
                        <c:v>  Papier/Carton CS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tri'!$I$30:$M$30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644.89176799999905</c:v>
                      </c:pt>
                      <c:pt idx="1">
                        <c:v>655.04587900000013</c:v>
                      </c:pt>
                      <c:pt idx="2">
                        <c:v>662.26120199999843</c:v>
                      </c:pt>
                      <c:pt idx="3">
                        <c:v>679.94407099999898</c:v>
                      </c:pt>
                      <c:pt idx="4">
                        <c:v>691.39660799999899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338-4C7B-971B-65E308929C5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tri'!$B$37</c15:sqref>
                        </c15:formulaRef>
                      </c:ext>
                    </c:extLst>
                    <c:strCache>
                      <c:ptCount val="1"/>
                      <c:pt idx="0">
                        <c:v>  Plastique CS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tri'!$E$18:$Q$18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'Collecte et tri'!$I$37:$M$37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251.07771799999966</c:v>
                      </c:pt>
                      <c:pt idx="1">
                        <c:v>255.61007099999958</c:v>
                      </c:pt>
                      <c:pt idx="2">
                        <c:v>265.90481499999999</c:v>
                      </c:pt>
                      <c:pt idx="3">
                        <c:v>279.88404499999996</c:v>
                      </c:pt>
                      <c:pt idx="4">
                        <c:v>295.32209699999953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338-4C7B-971B-65E308929C5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'Collecte et tri'!$B$29</c:f>
              <c:strCache>
                <c:ptCount val="1"/>
                <c:pt idx="0">
                  <c:v>  Aluminium mâchefers, compost et TMB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8510152284263958E-2"/>
                  <c:y val="-3.7626291989664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EC-4FF5-B8C4-CAA52E251C9E}"/>
                </c:ext>
              </c:extLst>
            </c:dLbl>
            <c:dLbl>
              <c:idx val="10"/>
              <c:layout>
                <c:manualLayout>
                  <c:x val="-2.9440697753007509E-2"/>
                  <c:y val="-3.8843636911459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EC-4FF5-B8C4-CAA52E251C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tri'!$I$18:$Q$18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'Collecte et tri'!$E$29:$Q$29</c:f>
              <c:numCache>
                <c:formatCode>#,##0</c:formatCode>
                <c:ptCount val="13"/>
                <c:pt idx="0">
                  <c:v>14.988263999999999</c:v>
                </c:pt>
                <c:pt idx="1">
                  <c:v>14.331841000000001</c:v>
                </c:pt>
                <c:pt idx="2">
                  <c:v>15.499000000000001</c:v>
                </c:pt>
                <c:pt idx="3">
                  <c:v>17.10868</c:v>
                </c:pt>
                <c:pt idx="4">
                  <c:v>17.399575000000002</c:v>
                </c:pt>
                <c:pt idx="5">
                  <c:v>18.19665299999998</c:v>
                </c:pt>
                <c:pt idx="6">
                  <c:v>19.710036999999982</c:v>
                </c:pt>
                <c:pt idx="7">
                  <c:v>22.834107999999976</c:v>
                </c:pt>
                <c:pt idx="8">
                  <c:v>26.09667127999996</c:v>
                </c:pt>
                <c:pt idx="9">
                  <c:v>26.125184999999981</c:v>
                </c:pt>
                <c:pt idx="10">
                  <c:v>27.982520000000001</c:v>
                </c:pt>
                <c:pt idx="11">
                  <c:v>33.353100000000005</c:v>
                </c:pt>
                <c:pt idx="12">
                  <c:v>31.791879999999999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8-4C7B-971B-65E308929C5A}"/>
            </c:ext>
          </c:extLst>
        </c:ser>
        <c:ser>
          <c:idx val="5"/>
          <c:order val="5"/>
          <c:tx>
            <c:strRef>
              <c:f>'Collecte et tri'!$B$36</c:f>
              <c:strCache>
                <c:ptCount val="1"/>
                <c:pt idx="0">
                  <c:v>  Papier/Carton compost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503174324813998E-2"/>
                  <c:y val="-3.5153549571443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E6-4C04-B33B-F7C5DE2F423C}"/>
                </c:ext>
              </c:extLst>
            </c:dLbl>
            <c:dLbl>
              <c:idx val="1"/>
              <c:layout>
                <c:manualLayout>
                  <c:x val="-1.9275057634472247E-2"/>
                  <c:y val="-3.1459972237095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E6-4C04-B33B-F7C5DE2F423C}"/>
                </c:ext>
              </c:extLst>
            </c:dLbl>
            <c:dLbl>
              <c:idx val="2"/>
              <c:layout>
                <c:manualLayout>
                  <c:x val="-1.4095770732853277E-2"/>
                  <c:y val="-3.180228251445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EC-4FF5-B8C4-CAA52E251C9E}"/>
                </c:ext>
              </c:extLst>
            </c:dLbl>
            <c:dLbl>
              <c:idx val="3"/>
              <c:layout>
                <c:manualLayout>
                  <c:x val="-9.9701938065693413E-3"/>
                  <c:y val="-2.8249771125670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EC-4FF5-B8C4-CAA52E251C9E}"/>
                </c:ext>
              </c:extLst>
            </c:dLbl>
            <c:dLbl>
              <c:idx val="4"/>
              <c:layout>
                <c:manualLayout>
                  <c:x val="-1.3671941874559163E-2"/>
                  <c:y val="-3.696921912249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EC-4FF5-B8C4-CAA52E251C9E}"/>
                </c:ext>
              </c:extLst>
            </c:dLbl>
            <c:dLbl>
              <c:idx val="5"/>
              <c:layout>
                <c:manualLayout>
                  <c:x val="-8.3001678939888957E-3"/>
                  <c:y val="2.8042104454948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EC-4FF5-B8C4-CAA52E251C9E}"/>
                </c:ext>
              </c:extLst>
            </c:dLbl>
            <c:dLbl>
              <c:idx val="6"/>
              <c:layout>
                <c:manualLayout>
                  <c:x val="-1.3763793790810462E-2"/>
                  <c:y val="3.87179971155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E6-4C04-B33B-F7C5DE2F423C}"/>
                </c:ext>
              </c:extLst>
            </c:dLbl>
            <c:dLbl>
              <c:idx val="7"/>
              <c:layout>
                <c:manualLayout>
                  <c:x val="-1.3754415070026223E-2"/>
                  <c:y val="3.87179971155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E6-4C04-B33B-F7C5DE2F423C}"/>
                </c:ext>
              </c:extLst>
            </c:dLbl>
            <c:dLbl>
              <c:idx val="8"/>
              <c:layout>
                <c:manualLayout>
                  <c:x val="-1.3763793790810462E-2"/>
                  <c:y val="3.87179971155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E6-4C04-B33B-F7C5DE2F4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tri'!$I$18:$Q$18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'Collecte et tri'!$E$36:$Q$36</c:f>
              <c:numCache>
                <c:formatCode>#,##0</c:formatCode>
                <c:ptCount val="13"/>
                <c:pt idx="0">
                  <c:v>6.1109999999999998</c:v>
                </c:pt>
                <c:pt idx="1">
                  <c:v>7.4779999999999998</c:v>
                </c:pt>
                <c:pt idx="2">
                  <c:v>9.282</c:v>
                </c:pt>
                <c:pt idx="3">
                  <c:v>11.163</c:v>
                </c:pt>
                <c:pt idx="4">
                  <c:v>10.785301999999987</c:v>
                </c:pt>
                <c:pt idx="5">
                  <c:v>12.896214999999991</c:v>
                </c:pt>
                <c:pt idx="6">
                  <c:v>16.273406999999999</c:v>
                </c:pt>
                <c:pt idx="7">
                  <c:v>16.568430999999986</c:v>
                </c:pt>
                <c:pt idx="8">
                  <c:v>15.950165999999976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8-4C7B-971B-65E308929C5A}"/>
            </c:ext>
          </c:extLst>
        </c:ser>
        <c:ser>
          <c:idx val="7"/>
          <c:order val="7"/>
          <c:tx>
            <c:strRef>
              <c:f>'Collecte et tri'!$B$58</c:f>
              <c:strCache>
                <c:ptCount val="1"/>
                <c:pt idx="0">
                  <c:v>  Plastique TMB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4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9.2986294860431234E-3"/>
                  <c:y val="-3.706461230089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EC-4FF5-B8C4-CAA52E251C9E}"/>
                </c:ext>
              </c:extLst>
            </c:dLbl>
            <c:dLbl>
              <c:idx val="4"/>
              <c:layout>
                <c:manualLayout>
                  <c:x val="-5.4378726754598814E-3"/>
                  <c:y val="-3.7952739487256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EC-4FF5-B8C4-CAA52E251C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tri'!$I$18:$Q$18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'Collecte et tri'!$E$58:$Q$58</c:f>
              <c:numCache>
                <c:formatCode>#,##0</c:formatCode>
                <c:ptCount val="13"/>
                <c:pt idx="3">
                  <c:v>1.365</c:v>
                </c:pt>
                <c:pt idx="4">
                  <c:v>1.1499710000000001</c:v>
                </c:pt>
                <c:pt idx="5">
                  <c:v>0.83865400000000001</c:v>
                </c:pt>
                <c:pt idx="6">
                  <c:v>0.77536700000000003</c:v>
                </c:pt>
                <c:pt idx="7">
                  <c:v>0.65700000000000003</c:v>
                </c:pt>
                <c:pt idx="8">
                  <c:v>1.0442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38-4C7B-971B-65E308929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75536"/>
        <c:axId val="427077888"/>
      </c:lineChart>
      <c:catAx>
        <c:axId val="4270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81024"/>
        <c:crosses val="autoZero"/>
        <c:auto val="1"/>
        <c:lblAlgn val="ctr"/>
        <c:lblOffset val="100"/>
        <c:noMultiLvlLbl val="0"/>
      </c:catAx>
      <c:valAx>
        <c:axId val="427081024"/>
        <c:scaling>
          <c:orientation val="minMax"/>
          <c:min val="1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4360"/>
        <c:crosses val="autoZero"/>
        <c:crossBetween val="between"/>
        <c:majorUnit val="15"/>
      </c:valAx>
      <c:valAx>
        <c:axId val="427077888"/>
        <c:scaling>
          <c:orientation val="minMax"/>
          <c:max val="5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5536"/>
        <c:crosses val="max"/>
        <c:crossBetween val="between"/>
        <c:majorUnit val="10"/>
      </c:valAx>
      <c:catAx>
        <c:axId val="42707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077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006647178993511E-2"/>
          <c:y val="0.85001762119191704"/>
          <c:w val="0.98499335282100653"/>
          <c:h val="0.12123002711475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Répartition du tonnage recyclé par matériaux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D8-443F-BA6F-98D03D6E5F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D8-443F-BA6F-98D03D6E5F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D8-443F-BA6F-98D03D6E5F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D8-443F-BA6F-98D03D6E5F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D8-443F-BA6F-98D03D6E5FC8}"/>
              </c:ext>
            </c:extLst>
          </c:dPt>
          <c:dLbls>
            <c:dLbl>
              <c:idx val="0"/>
              <c:layout>
                <c:manualLayout>
                  <c:x val="5.8843779957622674E-3"/>
                  <c:y val="-8.3949997064277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D8-443F-BA6F-98D03D6E5FC8}"/>
                </c:ext>
              </c:extLst>
            </c:dLbl>
            <c:dLbl>
              <c:idx val="1"/>
              <c:layout>
                <c:manualLayout>
                  <c:x val="4.9464263193020989E-2"/>
                  <c:y val="-6.636046802315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D8-443F-BA6F-98D03D6E5FC8}"/>
                </c:ext>
              </c:extLst>
            </c:dLbl>
            <c:dLbl>
              <c:idx val="2"/>
              <c:layout>
                <c:manualLayout>
                  <c:x val="6.1509533211283572E-2"/>
                  <c:y val="-2.4691220488423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D8-443F-BA6F-98D03D6E5FC8}"/>
                </c:ext>
              </c:extLst>
            </c:dLbl>
            <c:dLbl>
              <c:idx val="3"/>
              <c:layout>
                <c:manualLayout>
                  <c:x val="5.2222052168417951E-2"/>
                  <c:y val="6.5639458895572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D8-443F-BA6F-98D03D6E5FC8}"/>
                </c:ext>
              </c:extLst>
            </c:dLbl>
            <c:dLbl>
              <c:idx val="4"/>
              <c:layout>
                <c:manualLayout>
                  <c:x val="-7.06125359491478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D8-443F-BA6F-98D03D6E5FC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'Collecte et tri'!$B$65:$B$69</c:f>
              <c:strCache>
                <c:ptCount val="5"/>
                <c:pt idx="0">
                  <c:v>  % Acier total</c:v>
                </c:pt>
                <c:pt idx="1">
                  <c:v>  % Aluminium total</c:v>
                </c:pt>
                <c:pt idx="2">
                  <c:v>  % Papier/Carton total</c:v>
                </c:pt>
                <c:pt idx="3">
                  <c:v>  % Plastique total</c:v>
                </c:pt>
                <c:pt idx="4">
                  <c:v>  % Verre total</c:v>
                </c:pt>
              </c:strCache>
            </c:strRef>
          </c:cat>
          <c:val>
            <c:numRef>
              <c:f>'Collecte et tri'!$Q$65:$Q$69</c:f>
              <c:numCache>
                <c:formatCode>0%</c:formatCode>
                <c:ptCount val="5"/>
                <c:pt idx="0">
                  <c:v>8.4624831006414394E-2</c:v>
                </c:pt>
                <c:pt idx="1">
                  <c:v>1.2843191113541123E-2</c:v>
                </c:pt>
                <c:pt idx="2">
                  <c:v>0.21793262832125426</c:v>
                </c:pt>
                <c:pt idx="3">
                  <c:v>9.2582622768799458E-2</c:v>
                </c:pt>
                <c:pt idx="4">
                  <c:v>0.59077051703529526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D8-443F-BA6F-98D03D6E5F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79626463213799"/>
          <c:y val="0.26208888902850663"/>
          <c:w val="0.36653946226429091"/>
          <c:h val="0.69081015111700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Evolution de la répartition des tonnages recyclés par matériaux (%)</a:t>
            </a:r>
            <a:endParaRPr lang="fr-FR">
              <a:solidFill>
                <a:schemeClr val="bg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'Mise sur le marché'!$B$16</c:f>
              <c:strCache>
                <c:ptCount val="1"/>
                <c:pt idx="0">
                  <c:v>Acier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0D72067-9AD7-49EB-ABB9-84579AFD1E0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787-4884-8664-704F436FD1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AC62BA-2EB8-43DD-9B29-CD62688561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787-4884-8664-704F436FD1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BFE9C52-842A-4CAD-A632-3FB59AC9340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787-4884-8664-704F436FD1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4F6119A-A286-4B74-AB16-103291960BA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787-4884-8664-704F436FD1A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ED6262-9FD2-4589-AEF8-B111B1A920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787-4884-8664-704F436FD1A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CAFBF05-990D-484A-BC0F-EC720876AC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787-4884-8664-704F436FD1A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57DD45C-ECBD-46A7-8222-1D29F93D4C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787-4884-8664-704F436FD1A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66E87CF-979A-4E56-845C-619D0C70323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787-4884-8664-704F436FD1A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258901B-CA77-4562-AA7E-AFA77D501BA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787-4884-8664-704F436FD1A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C8A769A-9275-4096-B454-E0EDFFC63AE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787-4884-8664-704F436FD1A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D3AAEC7-914E-41DD-93E6-3305483DE2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787-4884-8664-704F436FD1A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A8FB6F4-FD1B-4587-9224-E5DAC178C50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89C-4D6D-9961-193C70243FA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A53348D-CBDA-43AF-BD60-7D45A99B537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92A-44F7-9355-4EA12305C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tri'!$E$60:$Q$60</c:f>
              <c:numCache>
                <c:formatCode>#,##0</c:formatCode>
                <c:ptCount val="13"/>
                <c:pt idx="0">
                  <c:v>323.29759999999982</c:v>
                </c:pt>
                <c:pt idx="1">
                  <c:v>323.6659499999999</c:v>
                </c:pt>
                <c:pt idx="2">
                  <c:v>336.07846321664965</c:v>
                </c:pt>
                <c:pt idx="3">
                  <c:v>329.79102099999977</c:v>
                </c:pt>
                <c:pt idx="4">
                  <c:v>319.80856099999971</c:v>
                </c:pt>
                <c:pt idx="5">
                  <c:v>318.47392824940562</c:v>
                </c:pt>
                <c:pt idx="6">
                  <c:v>320.81970919999941</c:v>
                </c:pt>
                <c:pt idx="7">
                  <c:v>330.32861299999945</c:v>
                </c:pt>
                <c:pt idx="8">
                  <c:v>334.10955290499965</c:v>
                </c:pt>
                <c:pt idx="9">
                  <c:v>316.07224100000002</c:v>
                </c:pt>
                <c:pt idx="10">
                  <c:v>317.94376999999997</c:v>
                </c:pt>
                <c:pt idx="11">
                  <c:v>323.88656999999995</c:v>
                </c:pt>
                <c:pt idx="12">
                  <c:v>322.55239999999992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'Collecte et tri'!$E$65:$Q$65</c15:f>
                <c15:dlblRangeCache>
                  <c:ptCount val="13"/>
                  <c:pt idx="0">
                    <c:v>11%</c:v>
                  </c:pt>
                  <c:pt idx="1">
                    <c:v>11%</c:v>
                  </c:pt>
                  <c:pt idx="2">
                    <c:v>11%</c:v>
                  </c:pt>
                  <c:pt idx="3">
                    <c:v>10%</c:v>
                  </c:pt>
                  <c:pt idx="4">
                    <c:v>10%</c:v>
                  </c:pt>
                  <c:pt idx="5">
                    <c:v>10%</c:v>
                  </c:pt>
                  <c:pt idx="6">
                    <c:v>10%</c:v>
                  </c:pt>
                  <c:pt idx="7">
                    <c:v>10%</c:v>
                  </c:pt>
                  <c:pt idx="8">
                    <c:v>10%</c:v>
                  </c:pt>
                  <c:pt idx="9">
                    <c:v>9%</c:v>
                  </c:pt>
                  <c:pt idx="10">
                    <c:v>9%</c:v>
                  </c:pt>
                  <c:pt idx="11">
                    <c:v>9%</c:v>
                  </c:pt>
                  <c:pt idx="12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A787-4884-8664-704F436FD1A4}"/>
            </c:ext>
          </c:extLst>
        </c:ser>
        <c:ser>
          <c:idx val="1"/>
          <c:order val="1"/>
          <c:tx>
            <c:strRef>
              <c:f>'Mise sur le marché'!$B$17</c:f>
              <c:strCache>
                <c:ptCount val="1"/>
                <c:pt idx="0">
                  <c:v>Aluminium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07B1977-BD87-4FA3-B553-D029A942018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787-4884-8664-704F436FD1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0DC0416-34E0-45FF-AA1F-EBD8E4E431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787-4884-8664-704F436FD1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FF9EE7-4031-4C70-BA75-261931EC7B9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787-4884-8664-704F436FD1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8596C0A-6390-4F51-8F04-9E67916016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787-4884-8664-704F436FD1A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FD9BB83-776A-4619-A12A-276696F339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787-4884-8664-704F436FD1A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E5FAF6A-D4B2-4C08-B8E6-CA3A0342FE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787-4884-8664-704F436FD1A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567600D-76EC-48BB-83FE-E550F234A58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787-4884-8664-704F436FD1A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0ACC149-8D41-43C6-AD2A-B12158F8738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787-4884-8664-704F436FD1A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8527FB5-638F-4F7B-B7FB-828AF62CBC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787-4884-8664-704F436FD1A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ED89289-9BBE-4882-A243-03CE8B86FB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787-4884-8664-704F436FD1A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AA9B137-3627-400F-AA58-4787890D17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787-4884-8664-704F436FD1A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227FDE0-3AAE-45A8-B403-8292E7B0DA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89C-4D6D-9961-193C70243FA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C1F4A47-7508-41DB-B5AB-D7EEB5CADA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92A-44F7-9355-4EA12305C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tri'!$E$61:$Q$61</c:f>
              <c:numCache>
                <c:formatCode>#,##0</c:formatCode>
                <c:ptCount val="13"/>
                <c:pt idx="0">
                  <c:v>20.21512899999999</c:v>
                </c:pt>
                <c:pt idx="1">
                  <c:v>19.943711999999991</c:v>
                </c:pt>
                <c:pt idx="2">
                  <c:v>21.379994999999987</c:v>
                </c:pt>
                <c:pt idx="3">
                  <c:v>23.525342999999992</c:v>
                </c:pt>
                <c:pt idx="4">
                  <c:v>23.747965000000001</c:v>
                </c:pt>
                <c:pt idx="5">
                  <c:v>25.853874999999977</c:v>
                </c:pt>
                <c:pt idx="6">
                  <c:v>28.208913999999975</c:v>
                </c:pt>
                <c:pt idx="7">
                  <c:v>32.421625999999968</c:v>
                </c:pt>
                <c:pt idx="8">
                  <c:v>37.185907279999952</c:v>
                </c:pt>
                <c:pt idx="9">
                  <c:v>37.71627299999998</c:v>
                </c:pt>
                <c:pt idx="10">
                  <c:v>40.681249999999999</c:v>
                </c:pt>
                <c:pt idx="11">
                  <c:v>47.269030000000001</c:v>
                </c:pt>
                <c:pt idx="12">
                  <c:v>48.952559999999998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'Collecte et tri'!$E$66:$Q$66</c15:f>
                <c15:dlblRangeCache>
                  <c:ptCount val="13"/>
                  <c:pt idx="0">
                    <c:v>1%</c:v>
                  </c:pt>
                  <c:pt idx="1">
                    <c:v>1%</c:v>
                  </c:pt>
                  <c:pt idx="2">
                    <c:v>1%</c:v>
                  </c:pt>
                  <c:pt idx="3">
                    <c:v>1%</c:v>
                  </c:pt>
                  <c:pt idx="4">
                    <c:v>1%</c:v>
                  </c:pt>
                  <c:pt idx="5">
                    <c:v>1%</c:v>
                  </c:pt>
                  <c:pt idx="6">
                    <c:v>1%</c:v>
                  </c:pt>
                  <c:pt idx="7">
                    <c:v>1%</c:v>
                  </c:pt>
                  <c:pt idx="8">
                    <c:v>1%</c:v>
                  </c:pt>
                  <c:pt idx="9">
                    <c:v>1%</c:v>
                  </c:pt>
                  <c:pt idx="10">
                    <c:v>1%</c:v>
                  </c:pt>
                  <c:pt idx="11">
                    <c:v>1%</c:v>
                  </c:pt>
                  <c:pt idx="12">
                    <c:v>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A787-4884-8664-704F436FD1A4}"/>
            </c:ext>
          </c:extLst>
        </c:ser>
        <c:ser>
          <c:idx val="2"/>
          <c:order val="2"/>
          <c:tx>
            <c:strRef>
              <c:f>'Mise sur le marché'!$B$18</c:f>
              <c:strCache>
                <c:ptCount val="1"/>
                <c:pt idx="0">
                  <c:v>Papier/Carton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68D5B10-6708-4142-B751-24DDC43E158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A787-4884-8664-704F436FD1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4A3A12-C2D4-41A8-A545-86E7C24AFB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787-4884-8664-704F436FD1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6651FD0-6097-45D9-ABE5-4FD6BBD15E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787-4884-8664-704F436FD1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B6EB712-1481-4CFC-8B1F-3D69870ACA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787-4884-8664-704F436FD1A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5433E18-3559-46E7-971F-5F790D67E1E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787-4884-8664-704F436FD1A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9C41E5A-0868-4C86-BDDC-A17E67A1280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787-4884-8664-704F436FD1A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6617A8A-C21D-46A7-A911-21FD399EC0C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787-4884-8664-704F436FD1A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8192FBD-6958-4BC0-B5D6-D2DE7754EF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787-4884-8664-704F436FD1A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29F365F-CDA3-4D55-919F-6BE8622B1E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787-4884-8664-704F436FD1A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21E334D-E69E-400C-ACFC-73EBB107F3E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787-4884-8664-704F436FD1A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9AEC4A1-EC45-446D-9006-65D3A44F968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787-4884-8664-704F436FD1A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31D166C-B073-44EA-A661-F1F172DFAA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89C-4D6D-9961-193C70243FA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E776121-1DAA-4448-89C6-729B09236EB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92A-44F7-9355-4EA12305C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tri'!$E$62:$Q$62</c:f>
              <c:numCache>
                <c:formatCode>#,##0</c:formatCode>
                <c:ptCount val="13"/>
                <c:pt idx="0">
                  <c:v>484.92438599999997</c:v>
                </c:pt>
                <c:pt idx="1">
                  <c:v>507.81369299999892</c:v>
                </c:pt>
                <c:pt idx="2">
                  <c:v>603.52641799999913</c:v>
                </c:pt>
                <c:pt idx="3">
                  <c:v>637.893171999998</c:v>
                </c:pt>
                <c:pt idx="4">
                  <c:v>655.67706999999905</c:v>
                </c:pt>
                <c:pt idx="5">
                  <c:v>667.94209400000011</c:v>
                </c:pt>
                <c:pt idx="6">
                  <c:v>678.53460899999845</c:v>
                </c:pt>
                <c:pt idx="7">
                  <c:v>696.51250199999902</c:v>
                </c:pt>
                <c:pt idx="8">
                  <c:v>707.34677399999896</c:v>
                </c:pt>
                <c:pt idx="9">
                  <c:v>759.7160230900065</c:v>
                </c:pt>
                <c:pt idx="10">
                  <c:v>782.23369000000002</c:v>
                </c:pt>
                <c:pt idx="11">
                  <c:v>760.96821999999963</c:v>
                </c:pt>
                <c:pt idx="12">
                  <c:v>830.66271999999992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'Collecte et tri'!$E$67:$Q$67</c15:f>
                <c15:dlblRangeCache>
                  <c:ptCount val="13"/>
                  <c:pt idx="0">
                    <c:v>16%</c:v>
                  </c:pt>
                  <c:pt idx="1">
                    <c:v>17%</c:v>
                  </c:pt>
                  <c:pt idx="2">
                    <c:v>19%</c:v>
                  </c:pt>
                  <c:pt idx="3">
                    <c:v>20%</c:v>
                  </c:pt>
                  <c:pt idx="4">
                    <c:v>21%</c:v>
                  </c:pt>
                  <c:pt idx="5">
                    <c:v>21%</c:v>
                  </c:pt>
                  <c:pt idx="6">
                    <c:v>21%</c:v>
                  </c:pt>
                  <c:pt idx="7">
                    <c:v>21%</c:v>
                  </c:pt>
                  <c:pt idx="8">
                    <c:v>21%</c:v>
                  </c:pt>
                  <c:pt idx="9">
                    <c:v>22%</c:v>
                  </c:pt>
                  <c:pt idx="10">
                    <c:v>22%</c:v>
                  </c:pt>
                  <c:pt idx="11">
                    <c:v>21%</c:v>
                  </c:pt>
                  <c:pt idx="12">
                    <c:v>22%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A787-4884-8664-704F436FD1A4}"/>
            </c:ext>
          </c:extLst>
        </c:ser>
        <c:ser>
          <c:idx val="3"/>
          <c:order val="3"/>
          <c:tx>
            <c:strRef>
              <c:f>'Mise sur le marché'!$B$22</c:f>
              <c:strCache>
                <c:ptCount val="1"/>
                <c:pt idx="0">
                  <c:v>Plastique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8233E90-656C-4411-A76A-5D824A264E8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A787-4884-8664-704F436FD1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EE9886-BC2C-43AA-AFD9-EBD062A275A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787-4884-8664-704F436FD1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6D175B-9D1F-420F-A87C-9D099A72A90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787-4884-8664-704F436FD1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5FBF8BC-80C6-4FA4-8204-D0C5E7FAB65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787-4884-8664-704F436FD1A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1019D82-0156-4A4B-B703-E86A82CBEB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787-4884-8664-704F436FD1A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283C783-02CF-4AC0-ABA8-1C1FE87C911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787-4884-8664-704F436FD1A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5D009AA-A2A6-4787-B6B7-6546CB1E0B6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787-4884-8664-704F436FD1A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28E3359-31ED-452F-ABE5-E3EB3A9D36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787-4884-8664-704F436FD1A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466DFB5-CFB3-41A2-A9F8-45DC1B8474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787-4884-8664-704F436FD1A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F567BE4-1CF8-4CFB-B20C-597A7B57223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A787-4884-8664-704F436FD1A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1096C25-653E-41B0-8E13-588D7D4D448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787-4884-8664-704F436FD1A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8AFDCEB-217A-45AF-8711-CD15B3595B7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89C-4D6D-9961-193C70243FA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8CD8CC9-91E0-4CE1-AA0F-DA6A8CEEC25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92A-44F7-9355-4EA12305C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tri'!$E$63:$Q$63</c:f>
              <c:numCache>
                <c:formatCode>#,##0</c:formatCode>
                <c:ptCount val="13"/>
                <c:pt idx="0">
                  <c:v>226.224278</c:v>
                </c:pt>
                <c:pt idx="1">
                  <c:v>230.45970499999999</c:v>
                </c:pt>
                <c:pt idx="2">
                  <c:v>233.79793299999966</c:v>
                </c:pt>
                <c:pt idx="3">
                  <c:v>244.08526200000003</c:v>
                </c:pt>
                <c:pt idx="4">
                  <c:v>252.22768899999966</c:v>
                </c:pt>
                <c:pt idx="5">
                  <c:v>256.44872499999957</c:v>
                </c:pt>
                <c:pt idx="6">
                  <c:v>266.680182</c:v>
                </c:pt>
                <c:pt idx="7">
                  <c:v>280.54104499999994</c:v>
                </c:pt>
                <c:pt idx="8">
                  <c:v>296.36629699999952</c:v>
                </c:pt>
                <c:pt idx="9">
                  <c:v>309.02581795648524</c:v>
                </c:pt>
                <c:pt idx="10">
                  <c:v>319.38232999999997</c:v>
                </c:pt>
                <c:pt idx="11">
                  <c:v>325.23880000000003</c:v>
                </c:pt>
                <c:pt idx="12">
                  <c:v>352.88397999999984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'Collecte et tri'!$E$68:$Q$68</c15:f>
                <c15:dlblRangeCache>
                  <c:ptCount val="13"/>
                  <c:pt idx="0">
                    <c:v>8%</c:v>
                  </c:pt>
                  <c:pt idx="1">
                    <c:v>8%</c:v>
                  </c:pt>
                  <c:pt idx="2">
                    <c:v>8%</c:v>
                  </c:pt>
                  <c:pt idx="3">
                    <c:v>8%</c:v>
                  </c:pt>
                  <c:pt idx="4">
                    <c:v>8%</c:v>
                  </c:pt>
                  <c:pt idx="5">
                    <c:v>8%</c:v>
                  </c:pt>
                  <c:pt idx="6">
                    <c:v>8%</c:v>
                  </c:pt>
                  <c:pt idx="7">
                    <c:v>8%</c:v>
                  </c:pt>
                  <c:pt idx="8">
                    <c:v>9%</c:v>
                  </c:pt>
                  <c:pt idx="9">
                    <c:v>9%</c:v>
                  </c:pt>
                  <c:pt idx="10">
                    <c:v>9%</c:v>
                  </c:pt>
                  <c:pt idx="11">
                    <c:v>9%</c:v>
                  </c:pt>
                  <c:pt idx="12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A787-4884-8664-704F436FD1A4}"/>
            </c:ext>
          </c:extLst>
        </c:ser>
        <c:ser>
          <c:idx val="4"/>
          <c:order val="4"/>
          <c:tx>
            <c:strRef>
              <c:f>'Mise sur le marché'!$B$32</c:f>
              <c:strCache>
                <c:ptCount val="1"/>
                <c:pt idx="0">
                  <c:v>Verre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D5B57BB-2D1F-4E3B-9BD5-344CC37CD40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A787-4884-8664-704F436FD1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EF54D2F-07D5-420A-BBE2-277E1D9E866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A787-4884-8664-704F436FD1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ADDCE9-1962-47E5-BAA6-2D7B0E531A0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A787-4884-8664-704F436FD1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4060D62-EBE2-49F2-80B5-430C387A5C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A787-4884-8664-704F436FD1A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6F3224-55BB-48C5-9405-736A53A3DE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A787-4884-8664-704F436FD1A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AF65BD4-79CC-4EBB-9EBE-EEB019DE6BB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A787-4884-8664-704F436FD1A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EB0208E-3658-4022-BF61-507303FBBF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A787-4884-8664-704F436FD1A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CD563C7-E725-4F48-A838-5D4901507BF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A787-4884-8664-704F436FD1A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1D9EF5E-6A04-4748-A747-B97EA32DB8D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A787-4884-8664-704F436FD1A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388ED04-67AE-45C0-9E6C-9EBD13650E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A787-4884-8664-704F436FD1A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D910339-91C9-403A-91AF-2F6DDFE2465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A787-4884-8664-704F436FD1A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5587998-4108-4D2B-92F5-EF6809F0C07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89C-4D6D-9961-193C70243FA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438BA91-0159-4CC2-8225-78AE05EDE8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92A-44F7-9355-4EA12305C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'Collecte et tri'!$E$64:$Q$64</c:f>
              <c:numCache>
                <c:formatCode>#,##0</c:formatCode>
                <c:ptCount val="13"/>
                <c:pt idx="0">
                  <c:v>1895.2861559999999</c:v>
                </c:pt>
                <c:pt idx="1">
                  <c:v>1890.4232360000001</c:v>
                </c:pt>
                <c:pt idx="2">
                  <c:v>1920.7506819999987</c:v>
                </c:pt>
                <c:pt idx="3">
                  <c:v>1909.97468399999</c:v>
                </c:pt>
                <c:pt idx="4">
                  <c:v>1929.8620329999967</c:v>
                </c:pt>
                <c:pt idx="5">
                  <c:v>1948.6192479999995</c:v>
                </c:pt>
                <c:pt idx="6">
                  <c:v>1961.8505169999976</c:v>
                </c:pt>
                <c:pt idx="7">
                  <c:v>2012.817334999999</c:v>
                </c:pt>
                <c:pt idx="8">
                  <c:v>2038.5402809999975</c:v>
                </c:pt>
                <c:pt idx="9">
                  <c:v>2099.7688484</c:v>
                </c:pt>
                <c:pt idx="10">
                  <c:v>2148.6905700000002</c:v>
                </c:pt>
                <c:pt idx="11">
                  <c:v>2211.3980700000002</c:v>
                </c:pt>
                <c:pt idx="12">
                  <c:v>2251.7557300000003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'Collecte et tri'!$E$69:$Q$69</c15:f>
                <c15:dlblRangeCache>
                  <c:ptCount val="13"/>
                  <c:pt idx="0">
                    <c:v>64%</c:v>
                  </c:pt>
                  <c:pt idx="1">
                    <c:v>64%</c:v>
                  </c:pt>
                  <c:pt idx="2">
                    <c:v>62%</c:v>
                  </c:pt>
                  <c:pt idx="3">
                    <c:v>61%</c:v>
                  </c:pt>
                  <c:pt idx="4">
                    <c:v>61%</c:v>
                  </c:pt>
                  <c:pt idx="5">
                    <c:v>61%</c:v>
                  </c:pt>
                  <c:pt idx="6">
                    <c:v>60%</c:v>
                  </c:pt>
                  <c:pt idx="7">
                    <c:v>60%</c:v>
                  </c:pt>
                  <c:pt idx="8">
                    <c:v>60%</c:v>
                  </c:pt>
                  <c:pt idx="9">
                    <c:v>60%</c:v>
                  </c:pt>
                  <c:pt idx="10">
                    <c:v>59%</c:v>
                  </c:pt>
                  <c:pt idx="11">
                    <c:v>60%</c:v>
                  </c:pt>
                  <c:pt idx="12">
                    <c:v>59%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B-A787-4884-8664-704F436FD1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5620936"/>
        <c:axId val="425617408"/>
      </c:barChart>
      <c:catAx>
        <c:axId val="42562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7408"/>
        <c:crosses val="autoZero"/>
        <c:auto val="1"/>
        <c:lblAlgn val="ctr"/>
        <c:lblOffset val="100"/>
        <c:noMultiLvlLbl val="0"/>
      </c:catAx>
      <c:valAx>
        <c:axId val="42561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209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Evolution de la population contractuelle DROM-COM, y compris Pourvoi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6803982055976383E-2"/>
          <c:y val="0.23904503168211264"/>
          <c:w val="0.90850507061283536"/>
          <c:h val="0.62817770311076837"/>
        </c:manualLayout>
      </c:layout>
      <c:lineChart>
        <c:grouping val="standard"/>
        <c:varyColors val="0"/>
        <c:ser>
          <c:idx val="1"/>
          <c:order val="0"/>
          <c:tx>
            <c:strRef>
              <c:f>'Collecte et tri'!$B$12</c:f>
              <c:strCache>
                <c:ptCount val="1"/>
                <c:pt idx="0">
                  <c:v>Population contractuelle totale dans les DROM-COM (y compris Pourvoi)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tri'!$I$4:$Q$4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'Collecte et tri'!$I$12:$Q$12</c:f>
              <c:numCache>
                <c:formatCode>#,##0</c:formatCode>
                <c:ptCount val="9"/>
                <c:pt idx="0">
                  <c:v>1855729</c:v>
                </c:pt>
                <c:pt idx="1">
                  <c:v>1988139</c:v>
                </c:pt>
                <c:pt idx="2">
                  <c:v>1988139</c:v>
                </c:pt>
                <c:pt idx="3">
                  <c:v>2022317</c:v>
                </c:pt>
                <c:pt idx="4">
                  <c:v>2022317</c:v>
                </c:pt>
                <c:pt idx="5">
                  <c:v>2112928</c:v>
                </c:pt>
                <c:pt idx="6">
                  <c:v>2187682</c:v>
                </c:pt>
                <c:pt idx="7">
                  <c:v>2191138</c:v>
                </c:pt>
                <c:pt idx="8">
                  <c:v>2183055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3-46EE-A95D-215440116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18976"/>
        <c:axId val="425619368"/>
      </c:lineChart>
      <c:catAx>
        <c:axId val="4256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9368"/>
        <c:crosses val="autoZero"/>
        <c:auto val="1"/>
        <c:lblAlgn val="ctr"/>
        <c:lblOffset val="100"/>
        <c:noMultiLvlLbl val="0"/>
      </c:catAx>
      <c:valAx>
        <c:axId val="425619368"/>
        <c:scaling>
          <c:orientation val="minMax"/>
          <c:min val="16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5618976"/>
        <c:crosses val="autoZero"/>
        <c:crossBetween val="between"/>
        <c:majorUnit val="200000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Marianne Light" panose="02000000000000000000" pitchFamily="50" charset="0"/>
                      <a:ea typeface="+mn-ea"/>
                      <a:cs typeface="+mn-cs"/>
                    </a:defRPr>
                  </a:pPr>
                  <a:r>
                    <a:rPr lang="fr-FR">
                      <a:solidFill>
                        <a:schemeClr val="bg1">
                          <a:lumMod val="50000"/>
                        </a:schemeClr>
                      </a:solidFill>
                    </a:rPr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des tonnages d'emballages légers recyclés issus de la collecte sélective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2543711537940513E-2"/>
          <c:y val="0.20965848887191221"/>
          <c:w val="0.92044060932506855"/>
          <c:h val="0.60699265368336364"/>
        </c:manualLayout>
      </c:layout>
      <c:lineChart>
        <c:grouping val="standard"/>
        <c:varyColors val="0"/>
        <c:ser>
          <c:idx val="0"/>
          <c:order val="0"/>
          <c:tx>
            <c:strRef>
              <c:f>'Collecte et tri'!$B$71</c:f>
              <c:strCache>
                <c:ptCount val="1"/>
                <c:pt idx="0">
                  <c:v>  Total Hors foyer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1.5125048121769737E-2"/>
                  <c:y val="-4.2621389347459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34E-4326-A824-9175A3FB5AFF}"/>
                </c:ext>
              </c:extLst>
            </c:dLbl>
            <c:dLbl>
              <c:idx val="3"/>
              <c:layout>
                <c:manualLayout>
                  <c:x val="-1.7015679136990956E-2"/>
                  <c:y val="-3.8746717588599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34E-4326-A824-9175A3FB5AFF}"/>
                </c:ext>
              </c:extLst>
            </c:dLbl>
            <c:dLbl>
              <c:idx val="4"/>
              <c:layout>
                <c:manualLayout>
                  <c:x val="-1.7015679136991094E-2"/>
                  <c:y val="-3.0997374070879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34E-4326-A824-9175A3FB5AFF}"/>
                </c:ext>
              </c:extLst>
            </c:dLbl>
            <c:dLbl>
              <c:idx val="6"/>
              <c:layout>
                <c:manualLayout>
                  <c:x val="-1.8906310152212173E-2"/>
                  <c:y val="-3.8746717588599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F7-4529-9CF9-84F79A45C5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tri'!$K$18:$Q$18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'Collecte et tri'!$K$71:$Q$71</c:f>
              <c:numCache>
                <c:formatCode>#\ ##0.0</c:formatCode>
                <c:ptCount val="7"/>
                <c:pt idx="0">
                  <c:v>0.30818000000000001</c:v>
                </c:pt>
                <c:pt idx="1">
                  <c:v>2.3319999999999999</c:v>
                </c:pt>
                <c:pt idx="2">
                  <c:v>0.36369999999999997</c:v>
                </c:pt>
                <c:pt idx="3">
                  <c:v>0.87130590000000008</c:v>
                </c:pt>
                <c:pt idx="4">
                  <c:v>1.3226</c:v>
                </c:pt>
                <c:pt idx="5">
                  <c:v>0.46800000000000003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E-4326-A824-9175A3FB5AFF}"/>
            </c:ext>
          </c:extLst>
        </c:ser>
        <c:ser>
          <c:idx val="2"/>
          <c:order val="1"/>
          <c:tx>
            <c:strRef>
              <c:f>'Collecte et tri'!$B$72</c:f>
              <c:strCache>
                <c:ptCount val="1"/>
                <c:pt idx="0">
                  <c:v>  Total RVM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014731737323193E-2"/>
                  <c:y val="-1.750375339758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4E-4326-A824-9175A3FB5AFF}"/>
                </c:ext>
              </c:extLst>
            </c:dLbl>
            <c:dLbl>
              <c:idx val="1"/>
              <c:layout>
                <c:manualLayout>
                  <c:x val="-6.1124100722101955E-2"/>
                  <c:y val="-1.750375339758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4E-4326-A824-9175A3FB5A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tri'!$K$18:$Q$18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'Collecte et tri'!$K$72:$Q$72</c:f>
              <c:numCache>
                <c:formatCode>#\ ##0.0</c:formatCode>
                <c:ptCount val="7"/>
                <c:pt idx="0">
                  <c:v>2.128E-2</c:v>
                </c:pt>
                <c:pt idx="1">
                  <c:v>2.9100000000000001E-2</c:v>
                </c:pt>
                <c:pt idx="2">
                  <c:v>2.6943999999999999</c:v>
                </c:pt>
                <c:pt idx="3">
                  <c:v>3.7845260000000018</c:v>
                </c:pt>
                <c:pt idx="4">
                  <c:v>3.5241709000000001</c:v>
                </c:pt>
                <c:pt idx="5">
                  <c:v>3.0310000000000001</c:v>
                </c:pt>
                <c:pt idx="6">
                  <c:v>3.4430000000000001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4E-4326-A824-9175A3FB5AFF}"/>
            </c:ext>
          </c:extLst>
        </c:ser>
        <c:ser>
          <c:idx val="4"/>
          <c:order val="2"/>
          <c:tx>
            <c:strRef>
              <c:f>'Collecte et tri'!$B$73</c:f>
              <c:strCache>
                <c:ptCount val="1"/>
                <c:pt idx="0">
                  <c:v>Total collecte spécifique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'Collecte et tri'!$K$18:$Q$18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'Collecte et tri'!$K$73:$Q$73</c:f>
              <c:numCache>
                <c:formatCode>#,##0</c:formatCode>
                <c:ptCount val="7"/>
                <c:pt idx="0">
                  <c:v>0.55508000000000002</c:v>
                </c:pt>
                <c:pt idx="1">
                  <c:v>2.5026950000000001</c:v>
                </c:pt>
                <c:pt idx="2">
                  <c:v>3.0581</c:v>
                </c:pt>
                <c:pt idx="3">
                  <c:v>4.7160319000000017</c:v>
                </c:pt>
                <c:pt idx="4">
                  <c:v>5.4297709000000003</c:v>
                </c:pt>
                <c:pt idx="5" formatCode="#\ ##0.000">
                  <c:v>3.9780000000000002</c:v>
                </c:pt>
                <c:pt idx="6" formatCode="#\ ##0.000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34E-4326-A824-9175A3FB5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77496"/>
        <c:axId val="427079456"/>
        <c:extLst/>
      </c:lineChart>
      <c:catAx>
        <c:axId val="42707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9456"/>
        <c:crosses val="autoZero"/>
        <c:auto val="1"/>
        <c:lblAlgn val="ctr"/>
        <c:lblOffset val="100"/>
        <c:noMultiLvlLbl val="0"/>
      </c:catAx>
      <c:valAx>
        <c:axId val="427079456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74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des recettes et dépenses totales, et de la provision cumulée (M€)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'Indicateurs économiques - Citeo'!$B$12</c:f>
              <c:strCache>
                <c:ptCount val="1"/>
                <c:pt idx="0">
                  <c:v>Total des recettes (CA = éco-contribution de l'année + régularisation années précédentes)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3576681048775319E-2"/>
                  <c:y val="-8.6801165186034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2D-4531-B7B7-5E77A235E0FB}"/>
                </c:ext>
              </c:extLst>
            </c:dLbl>
            <c:dLbl>
              <c:idx val="1"/>
              <c:layout>
                <c:manualLayout>
                  <c:x val="-1.0865163604838831E-2"/>
                  <c:y val="-4.399904934337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2D-4531-B7B7-5E77A235E0FB}"/>
                </c:ext>
              </c:extLst>
            </c:dLbl>
            <c:dLbl>
              <c:idx val="2"/>
              <c:layout>
                <c:manualLayout>
                  <c:x val="-1.8108606008064746E-2"/>
                  <c:y val="-8.7998098686750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2D-4531-B7B7-5E77A235E0FB}"/>
                </c:ext>
              </c:extLst>
            </c:dLbl>
            <c:dLbl>
              <c:idx val="3"/>
              <c:layout>
                <c:manualLayout>
                  <c:x val="-1.8108606008064746E-2"/>
                  <c:y val="-1.7599619737349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2D-4531-B7B7-5E77A235E0FB}"/>
                </c:ext>
              </c:extLst>
            </c:dLbl>
            <c:dLbl>
              <c:idx val="4"/>
              <c:layout>
                <c:manualLayout>
                  <c:x val="-1.9919466608871221E-2"/>
                  <c:y val="-2.199952467168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2D-4531-B7B7-5E77A235E0FB}"/>
                </c:ext>
              </c:extLst>
            </c:dLbl>
            <c:dLbl>
              <c:idx val="5"/>
              <c:layout>
                <c:manualLayout>
                  <c:x val="-1.8108606008064746E-2"/>
                  <c:y val="-8.799809868674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2D-4531-B7B7-5E77A235E0FB}"/>
                </c:ext>
              </c:extLst>
            </c:dLbl>
            <c:dLbl>
              <c:idx val="6"/>
              <c:layout>
                <c:manualLayout>
                  <c:x val="-2.17303272096776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2D-4531-B7B7-5E77A235E0FB}"/>
                </c:ext>
              </c:extLst>
            </c:dLbl>
            <c:dLbl>
              <c:idx val="7"/>
              <c:layout>
                <c:manualLayout>
                  <c:x val="-1.0865163604838848E-2"/>
                  <c:y val="-4.03319959794343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2D-4531-B7B7-5E77A235E0FB}"/>
                </c:ext>
              </c:extLst>
            </c:dLbl>
            <c:dLbl>
              <c:idx val="8"/>
              <c:layout>
                <c:manualLayout>
                  <c:x val="-1.81086060080647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2D-4531-B7B7-5E77A235E0FB}"/>
                </c:ext>
              </c:extLst>
            </c:dLbl>
            <c:dLbl>
              <c:idx val="9"/>
              <c:layout>
                <c:manualLayout>
                  <c:x val="-1.4486884806451796E-2"/>
                  <c:y val="-8.799809868674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2D-4531-B7B7-5E77A235E0FB}"/>
                </c:ext>
              </c:extLst>
            </c:dLbl>
            <c:dLbl>
              <c:idx val="10"/>
              <c:layout>
                <c:manualLayout>
                  <c:x val="-1.4486884806451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2D-4531-B7B7-5E77A235E0F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'Indicateurs économiques - Citeo'!$E$12:$Q$12</c:f>
              <c:numCache>
                <c:formatCode>0.0</c:formatCode>
                <c:ptCount val="13"/>
                <c:pt idx="0">
                  <c:v>417.58771340999999</c:v>
                </c:pt>
                <c:pt idx="1">
                  <c:v>530.81230945000004</c:v>
                </c:pt>
                <c:pt idx="2">
                  <c:v>584.17480463000004</c:v>
                </c:pt>
                <c:pt idx="3">
                  <c:v>674.2723461900307</c:v>
                </c:pt>
                <c:pt idx="4">
                  <c:v>672.98548040433002</c:v>
                </c:pt>
                <c:pt idx="5">
                  <c:v>684.38984928659897</c:v>
                </c:pt>
                <c:pt idx="6">
                  <c:v>699.69791900475764</c:v>
                </c:pt>
                <c:pt idx="7">
                  <c:v>657.77182514381627</c:v>
                </c:pt>
                <c:pt idx="8">
                  <c:v>667.49835164461933</c:v>
                </c:pt>
                <c:pt idx="9">
                  <c:v>704.06458874217992</c:v>
                </c:pt>
                <c:pt idx="10">
                  <c:v>708.70106784775896</c:v>
                </c:pt>
                <c:pt idx="11">
                  <c:v>798.84544800629772</c:v>
                </c:pt>
                <c:pt idx="12" formatCode="#\ ##0.0">
                  <c:v>831.76139312276769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C-414E-B644-3707F0AD1674}"/>
            </c:ext>
          </c:extLst>
        </c:ser>
        <c:ser>
          <c:idx val="2"/>
          <c:order val="1"/>
          <c:tx>
            <c:strRef>
              <c:f>'Indicateurs économiques - Citeo'!$B$15</c:f>
              <c:strCache>
                <c:ptCount val="1"/>
                <c:pt idx="0">
                  <c:v>Total des dépenses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'Indicateurs économiques - Citeo'!$E$15:$Q$15</c:f>
              <c:numCache>
                <c:formatCode>0</c:formatCode>
                <c:ptCount val="13"/>
                <c:pt idx="0">
                  <c:v>422.72627032000003</c:v>
                </c:pt>
                <c:pt idx="1">
                  <c:v>469.56769649</c:v>
                </c:pt>
                <c:pt idx="2">
                  <c:v>580.69086474999995</c:v>
                </c:pt>
                <c:pt idx="3">
                  <c:v>634.43539480000004</c:v>
                </c:pt>
                <c:pt idx="4">
                  <c:v>648.547677349997</c:v>
                </c:pt>
                <c:pt idx="5">
                  <c:v>637.20056179000005</c:v>
                </c:pt>
                <c:pt idx="6">
                  <c:v>661.65617481999902</c:v>
                </c:pt>
                <c:pt idx="7">
                  <c:v>752.50025284999595</c:v>
                </c:pt>
                <c:pt idx="8">
                  <c:v>721.63248449019</c:v>
                </c:pt>
                <c:pt idx="9">
                  <c:v>694.45662409303202</c:v>
                </c:pt>
                <c:pt idx="10">
                  <c:v>718.66117916185999</c:v>
                </c:pt>
                <c:pt idx="11" formatCode="0.0">
                  <c:v>737.90067076522996</c:v>
                </c:pt>
                <c:pt idx="12" formatCode="0.0">
                  <c:v>772.77956300746405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C-414E-B644-3707F0AD1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927120"/>
        <c:axId val="533929472"/>
      </c:barChart>
      <c:lineChart>
        <c:grouping val="standard"/>
        <c:varyColors val="0"/>
        <c:ser>
          <c:idx val="1"/>
          <c:order val="2"/>
          <c:tx>
            <c:strRef>
              <c:f>'Indicateurs économiques - Citeo'!$B$14</c:f>
              <c:strCache>
                <c:ptCount val="1"/>
                <c:pt idx="0">
                  <c:v>Provision cumulée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dLbls>
            <c:numFmt formatCode="#,##0" sourceLinked="0"/>
            <c:spPr>
              <a:solidFill>
                <a:srgbClr val="FFFFFF">
                  <a:alpha val="50196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'Indicateurs économiques - Citeo'!$E$14:$Q$14</c:f>
              <c:numCache>
                <c:formatCode>#,##0</c:formatCode>
                <c:ptCount val="13"/>
                <c:pt idx="0">
                  <c:v>29.739538702119262</c:v>
                </c:pt>
                <c:pt idx="1">
                  <c:v>96.829623202119265</c:v>
                </c:pt>
                <c:pt idx="2">
                  <c:v>103.17245049211932</c:v>
                </c:pt>
                <c:pt idx="3">
                  <c:v>145.80571107211932</c:v>
                </c:pt>
                <c:pt idx="4">
                  <c:v>172.88634053211933</c:v>
                </c:pt>
                <c:pt idx="5">
                  <c:v>222.11852561211933</c:v>
                </c:pt>
                <c:pt idx="6">
                  <c:v>262.27779603212002</c:v>
                </c:pt>
                <c:pt idx="7">
                  <c:v>169.34040601212354</c:v>
                </c:pt>
                <c:pt idx="8">
                  <c:v>111.06565921693414</c:v>
                </c:pt>
                <c:pt idx="9">
                  <c:v>121.10576548824423</c:v>
                </c:pt>
                <c:pt idx="10">
                  <c:v>124.82032546011581</c:v>
                </c:pt>
                <c:pt idx="11" formatCode="0.0">
                  <c:v>187.328550957141</c:v>
                </c:pt>
                <c:pt idx="12" formatCode="0.0">
                  <c:v>247.862783593599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C-414E-B644-3707F0AD1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28296"/>
        <c:axId val="533932216"/>
      </c:lineChart>
      <c:catAx>
        <c:axId val="53392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9472"/>
        <c:crosses val="autoZero"/>
        <c:auto val="1"/>
        <c:lblAlgn val="ctr"/>
        <c:lblOffset val="100"/>
        <c:noMultiLvlLbl val="0"/>
      </c:catAx>
      <c:valAx>
        <c:axId val="533929472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7120"/>
        <c:crosses val="autoZero"/>
        <c:crossBetween val="between"/>
        <c:majorUnit val="300"/>
      </c:valAx>
      <c:valAx>
        <c:axId val="533932216"/>
        <c:scaling>
          <c:orientation val="minMax"/>
          <c:max val="800"/>
        </c:scaling>
        <c:delete val="0"/>
        <c:axPos val="r"/>
        <c:numFmt formatCode="#,##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8296"/>
        <c:crosses val="max"/>
        <c:crossBetween val="between"/>
      </c:valAx>
      <c:catAx>
        <c:axId val="533928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932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du montant de l'éco-contribution (M€)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030958175335332E-2"/>
          <c:y val="0.24756400153725647"/>
          <c:w val="0.89150251257778268"/>
          <c:h val="0.53271748717641321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marché'!$B$100</c:f>
              <c:strCache>
                <c:ptCount val="1"/>
                <c:pt idx="0">
                  <c:v>Montant de l'éco-contribution - Citeo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marché'!$E$100:$Q$100</c:f>
              <c:numCache>
                <c:formatCode>#,##0</c:formatCode>
                <c:ptCount val="13"/>
                <c:pt idx="0">
                  <c:v>418.29070236999996</c:v>
                </c:pt>
                <c:pt idx="1">
                  <c:v>535</c:v>
                </c:pt>
                <c:pt idx="2">
                  <c:v>584.17449891002298</c:v>
                </c:pt>
                <c:pt idx="3">
                  <c:v>665.73991054742748</c:v>
                </c:pt>
                <c:pt idx="4">
                  <c:v>679</c:v>
                </c:pt>
                <c:pt idx="5">
                  <c:v>689.50959246141679</c:v>
                </c:pt>
                <c:pt idx="6">
                  <c:v>677</c:v>
                </c:pt>
                <c:pt idx="7">
                  <c:v>660</c:v>
                </c:pt>
                <c:pt idx="8">
                  <c:v>668.53307342884932</c:v>
                </c:pt>
                <c:pt idx="9">
                  <c:v>698.47794801375608</c:v>
                </c:pt>
                <c:pt idx="10">
                  <c:v>744.65957508999998</c:v>
                </c:pt>
                <c:pt idx="11">
                  <c:v>774.78346297999997</c:v>
                </c:pt>
                <c:pt idx="12">
                  <c:v>847.21636173000002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7-4762-A6BD-0F3680DF6C0B}"/>
            </c:ext>
          </c:extLst>
        </c:ser>
        <c:ser>
          <c:idx val="1"/>
          <c:order val="1"/>
          <c:tx>
            <c:strRef>
              <c:f>'Mise sur le marché'!#REF!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'Mise sur le marché'!#REF!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099-4A37-9F1D-01044228FEF5}"/>
            </c:ext>
          </c:extLst>
        </c:ser>
        <c:ser>
          <c:idx val="2"/>
          <c:order val="2"/>
          <c:tx>
            <c:strRef>
              <c:f>'Mise sur le marché'!$B$108</c:f>
              <c:strCache>
                <c:ptCount val="1"/>
                <c:pt idx="0">
                  <c:v>Montant de l'éco-contribution - Léko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'Mise sur le marché'!$E$108:$Q$108</c:f>
              <c:numCache>
                <c:formatCode>#,##0</c:formatCode>
                <c:ptCount val="13"/>
                <c:pt idx="11" formatCode="#\ ##0.0">
                  <c:v>0.67324728</c:v>
                </c:pt>
                <c:pt idx="12" formatCode="#\ ##0.0">
                  <c:v>2.52919377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B-4193-BF77-377361B9CA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957632"/>
        <c:axId val="419958024"/>
        <c:extLst/>
      </c:lineChart>
      <c:catAx>
        <c:axId val="4199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  <a:headEnd type="non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19958024"/>
        <c:crosses val="autoZero"/>
        <c:auto val="1"/>
        <c:lblAlgn val="ctr"/>
        <c:lblOffset val="100"/>
        <c:noMultiLvlLbl val="0"/>
      </c:catAx>
      <c:valAx>
        <c:axId val="419958024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19957632"/>
        <c:crosses val="autoZero"/>
        <c:crossBetween val="between"/>
        <c:majorUnit val="3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574094980504057E-2"/>
          <c:y val="0.89355514900381039"/>
          <c:w val="0.84184909894231308"/>
          <c:h val="9.16545674000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du total des soutiens directs aux collectivités locales (M€)</a:t>
            </a:r>
            <a:endParaRPr lang="en-US" sz="14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6024541187402544"/>
          <c:y val="1.9600447851595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520904035316143E-2"/>
          <c:y val="0.22955321409563992"/>
          <c:w val="0.88609401874269"/>
          <c:h val="0.52240776551259216"/>
        </c:manualLayout>
      </c:layout>
      <c:lineChart>
        <c:grouping val="standard"/>
        <c:varyColors val="0"/>
        <c:ser>
          <c:idx val="0"/>
          <c:order val="0"/>
          <c:tx>
            <c:strRef>
              <c:f>'Indicateurs économiques - Citeo'!$B$37</c:f>
              <c:strCache>
                <c:ptCount val="1"/>
                <c:pt idx="0">
                  <c:v>Total des soutiens directs aux CL au titre de l'année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'Indicateurs économiques - Citeo'!$G$18:$Q$18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Citeo'!$G$37:$Q$37</c:f>
              <c:numCache>
                <c:formatCode>0.0</c:formatCode>
                <c:ptCount val="11"/>
                <c:pt idx="0">
                  <c:v>515</c:v>
                </c:pt>
                <c:pt idx="1">
                  <c:v>543</c:v>
                </c:pt>
                <c:pt idx="2">
                  <c:v>564</c:v>
                </c:pt>
                <c:pt idx="3">
                  <c:v>565</c:v>
                </c:pt>
                <c:pt idx="4">
                  <c:v>580</c:v>
                </c:pt>
                <c:pt idx="5">
                  <c:v>613.00002211175388</c:v>
                </c:pt>
                <c:pt idx="6">
                  <c:v>634.90002327907791</c:v>
                </c:pt>
                <c:pt idx="7">
                  <c:v>614.92884517048219</c:v>
                </c:pt>
                <c:pt idx="8">
                  <c:v>623.06213285000013</c:v>
                </c:pt>
                <c:pt idx="9">
                  <c:v>631.60611089999986</c:v>
                </c:pt>
                <c:pt idx="10">
                  <c:v>643.70012230999998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6-4537-AADA-10D4C7A65220}"/>
            </c:ext>
          </c:extLst>
        </c:ser>
        <c:ser>
          <c:idx val="1"/>
          <c:order val="1"/>
          <c:tx>
            <c:v>Soutien à la collecte sélective et au tri et soutien à la performance de recyclage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Citeo'!$G$18:$Q$18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Citeo'!$G$17:$Q$17</c:f>
              <c:numCache>
                <c:formatCode>General</c:formatCode>
                <c:ptCount val="11"/>
                <c:pt idx="0" formatCode="0.0">
                  <c:v>379</c:v>
                </c:pt>
                <c:pt idx="1">
                  <c:v>433</c:v>
                </c:pt>
                <c:pt idx="2">
                  <c:v>464</c:v>
                </c:pt>
                <c:pt idx="3">
                  <c:v>457.70000000000005</c:v>
                </c:pt>
                <c:pt idx="4">
                  <c:v>468</c:v>
                </c:pt>
                <c:pt idx="5">
                  <c:v>499</c:v>
                </c:pt>
                <c:pt idx="6">
                  <c:v>520.70000000000005</c:v>
                </c:pt>
                <c:pt idx="7" formatCode="0.0">
                  <c:v>434.30005458516314</c:v>
                </c:pt>
                <c:pt idx="8" formatCode="0.0">
                  <c:v>450.87467812</c:v>
                </c:pt>
                <c:pt idx="9" formatCode="0.0">
                  <c:v>451.92464732999997</c:v>
                </c:pt>
                <c:pt idx="10" formatCode="0.0">
                  <c:v>499.63100379999997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9-49CA-9042-C589527685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7074752"/>
        <c:axId val="427077104"/>
      </c:lineChart>
      <c:catAx>
        <c:axId val="4270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7104"/>
        <c:crosses val="autoZero"/>
        <c:auto val="1"/>
        <c:lblAlgn val="ctr"/>
        <c:lblOffset val="100"/>
        <c:noMultiLvlLbl val="0"/>
      </c:catAx>
      <c:valAx>
        <c:axId val="42707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4752"/>
        <c:crosses val="autoZero"/>
        <c:crossBetween val="between"/>
        <c:majorUnit val="2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89334443447353E-2"/>
          <c:y val="0.86024819860195789"/>
          <c:w val="0.8865625905185256"/>
          <c:h val="0.13485366434138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du taux de couverture des coûts nets de référence</a:t>
            </a:r>
            <a:endParaRPr lang="en-US" sz="14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6024541187402544"/>
          <c:y val="1.9600447851595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520904035316143E-2"/>
          <c:y val="0.17063087021637102"/>
          <c:w val="0.88609401874269"/>
          <c:h val="0.51231011813238636"/>
        </c:manualLayout>
      </c:layout>
      <c:lineChart>
        <c:grouping val="standard"/>
        <c:varyColors val="0"/>
        <c:ser>
          <c:idx val="0"/>
          <c:order val="0"/>
          <c:tx>
            <c:strRef>
              <c:f>'Indicateurs économiques - Citeo'!$B$106:$Q$106</c:f>
              <c:strCache>
                <c:ptCount val="16"/>
                <c:pt idx="0">
                  <c:v>Taux de prise en charge des coûts - calcul agrément précédent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'Indicateurs économiques - Citeo'!$G$104:$Q$104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Citeo'!$G$111:$Q$111</c:f>
              <c:numCache>
                <c:formatCode>0.0%</c:formatCode>
                <c:ptCount val="11"/>
                <c:pt idx="0">
                  <c:v>0.7053571428571429</c:v>
                </c:pt>
                <c:pt idx="1">
                  <c:v>0.74937655860349128</c:v>
                </c:pt>
                <c:pt idx="2">
                  <c:v>0.78580645161290319</c:v>
                </c:pt>
                <c:pt idx="3">
                  <c:v>0.74751243781094523</c:v>
                </c:pt>
                <c:pt idx="4">
                  <c:v>0.74228028503562948</c:v>
                </c:pt>
                <c:pt idx="5">
                  <c:v>0.75265275539162135</c:v>
                </c:pt>
                <c:pt idx="6">
                  <c:v>0.75710294610432338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B-470F-96F7-FB1F2CC5AFF1}"/>
            </c:ext>
          </c:extLst>
        </c:ser>
        <c:ser>
          <c:idx val="1"/>
          <c:order val="1"/>
          <c:tx>
            <c:strRef>
              <c:f>'Indicateurs économiques - Citeo'!$B$112:$Q$112</c:f>
              <c:strCache>
                <c:ptCount val="16"/>
                <c:pt idx="0">
                  <c:v>Taux de prise en charge des coûts - calcul agrément 2018 - 2022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Citeo'!$G$104:$Q$104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Citeo'!$G$127:$Q$127</c:f>
              <c:numCache>
                <c:formatCode>0%</c:formatCode>
                <c:ptCount val="11"/>
                <c:pt idx="7" formatCode="0.0%">
                  <c:v>0.70498523758467668</c:v>
                </c:pt>
                <c:pt idx="8" formatCode="0.0%">
                  <c:v>0.7309713366346472</c:v>
                </c:pt>
                <c:pt idx="9" formatCode="0.0%">
                  <c:v>0.68991291012816547</c:v>
                </c:pt>
                <c:pt idx="10" formatCode="0.0%">
                  <c:v>0.74045990533907646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B-470F-96F7-FB1F2CC5AF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7074752"/>
        <c:axId val="427077104"/>
      </c:lineChart>
      <c:catAx>
        <c:axId val="4270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7104"/>
        <c:crosses val="autoZero"/>
        <c:auto val="1"/>
        <c:lblAlgn val="ctr"/>
        <c:lblOffset val="100"/>
        <c:noMultiLvlLbl val="0"/>
      </c:catAx>
      <c:valAx>
        <c:axId val="4270771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4752"/>
        <c:crosses val="autoZero"/>
        <c:crossBetween val="between"/>
        <c:majorUnit val="0.30000000000000004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210109470443967E-2"/>
          <c:y val="0.80356724367836174"/>
          <c:w val="0.91448627914337199"/>
          <c:h val="0.16532164883970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du total des soutiens par habitant (€/hab)</a:t>
            </a:r>
            <a:endParaRPr lang="en-US" sz="14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6024541187402544"/>
          <c:y val="1.9600447851595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520904035316143E-2"/>
          <c:y val="0.16922408952674298"/>
          <c:w val="0.88609401874269"/>
          <c:h val="0.55432009857898434"/>
        </c:manualLayout>
      </c:layout>
      <c:lineChart>
        <c:grouping val="standard"/>
        <c:varyColors val="0"/>
        <c:ser>
          <c:idx val="0"/>
          <c:order val="0"/>
          <c:tx>
            <c:strRef>
              <c:f>'Indicateurs économiques - Citeo'!$B$74</c:f>
              <c:strCache>
                <c:ptCount val="1"/>
                <c:pt idx="0">
                  <c:v>Total soutien par habitant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'Indicateurs économiques - Citeo'!$G$18:$Q$18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Citeo'!$G$74:$Q$74</c:f>
              <c:numCache>
                <c:formatCode>0.00</c:formatCode>
                <c:ptCount val="11"/>
                <c:pt idx="0">
                  <c:v>8.7265345970091843</c:v>
                </c:pt>
                <c:pt idx="1">
                  <c:v>9.4532022447344399</c:v>
                </c:pt>
                <c:pt idx="2">
                  <c:v>9.4134092020109268</c:v>
                </c:pt>
                <c:pt idx="3">
                  <c:v>9.2832869941303695</c:v>
                </c:pt>
                <c:pt idx="4">
                  <c:v>9.65400061785604</c:v>
                </c:pt>
                <c:pt idx="5">
                  <c:v>10.07532475023169</c:v>
                </c:pt>
                <c:pt idx="6">
                  <c:v>10.527002383333263</c:v>
                </c:pt>
                <c:pt idx="7">
                  <c:v>9.9651926102982351</c:v>
                </c:pt>
                <c:pt idx="8">
                  <c:v>10.436134851356377</c:v>
                </c:pt>
                <c:pt idx="9">
                  <c:v>10.154749197138393</c:v>
                </c:pt>
                <c:pt idx="10">
                  <c:v>10.772554860427386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9-49C5-8F84-4E67996B1760}"/>
            </c:ext>
          </c:extLst>
        </c:ser>
        <c:ser>
          <c:idx val="1"/>
          <c:order val="1"/>
          <c:tx>
            <c:strRef>
              <c:f>'Indicateurs économiques - Citeo'!$B$75</c:f>
              <c:strCache>
                <c:ptCount val="1"/>
                <c:pt idx="0">
                  <c:v>Total soutien collectivité par habitant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08620050020688E-2"/>
                  <c:y val="3.2048932056385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11-4158-936B-0832BE4ED250}"/>
                </c:ext>
              </c:extLst>
            </c:dLbl>
            <c:dLbl>
              <c:idx val="1"/>
              <c:layout>
                <c:manualLayout>
                  <c:x val="-4.2741210423951514E-2"/>
                  <c:y val="3.2048932056385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1-4158-936B-0832BE4ED250}"/>
                </c:ext>
              </c:extLst>
            </c:dLbl>
            <c:dLbl>
              <c:idx val="2"/>
              <c:layout>
                <c:manualLayout>
                  <c:x val="-4.4605148546398243E-2"/>
                  <c:y val="3.2048932056385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11-4158-936B-0832BE4ED250}"/>
                </c:ext>
              </c:extLst>
            </c:dLbl>
            <c:dLbl>
              <c:idx val="3"/>
              <c:layout>
                <c:manualLayout>
                  <c:x val="-4.8351906089144803E-2"/>
                  <c:y val="3.2048932056385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11-4158-936B-0832BE4ED250}"/>
                </c:ext>
              </c:extLst>
            </c:dLbl>
            <c:dLbl>
              <c:idx val="4"/>
              <c:layout>
                <c:manualLayout>
                  <c:x val="-5.2108104280818003E-2"/>
                  <c:y val="3.6332105827443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11-4158-936B-0832BE4ED250}"/>
                </c:ext>
              </c:extLst>
            </c:dLbl>
            <c:dLbl>
              <c:idx val="5"/>
              <c:layout>
                <c:manualLayout>
                  <c:x val="-4.8351906089144872E-2"/>
                  <c:y val="3.6332105827443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11-4158-936B-0832BE4ED250}"/>
                </c:ext>
              </c:extLst>
            </c:dLbl>
            <c:dLbl>
              <c:idx val="6"/>
              <c:layout>
                <c:manualLayout>
                  <c:x val="-5.3981483052191366E-2"/>
                  <c:y val="3.2048932056385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11-4158-936B-0832BE4ED250}"/>
                </c:ext>
              </c:extLst>
            </c:dLbl>
            <c:dLbl>
              <c:idx val="7"/>
              <c:layout>
                <c:manualLayout>
                  <c:x val="-4.4614589195324954E-2"/>
                  <c:y val="3.6332105827443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11-4158-936B-0832BE4ED250}"/>
                </c:ext>
              </c:extLst>
            </c:dLbl>
            <c:dLbl>
              <c:idx val="8"/>
              <c:layout>
                <c:manualLayout>
                  <c:x val="-4.8351906089144941E-2"/>
                  <c:y val="4.918162714061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11-4158-936B-0832BE4ED250}"/>
                </c:ext>
              </c:extLst>
            </c:dLbl>
            <c:dLbl>
              <c:idx val="10"/>
              <c:layout>
                <c:manualLayout>
                  <c:x val="-5.5854861823564597E-2"/>
                  <c:y val="4.06152795985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E4-48D2-A36B-295680606D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Citeo'!$G$18:$Q$18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Citeo'!$G$75:$Q$75</c:f>
              <c:numCache>
                <c:formatCode>0.00</c:formatCode>
                <c:ptCount val="11"/>
                <c:pt idx="0">
                  <c:v>8.1268812250628031</c:v>
                </c:pt>
                <c:pt idx="1">
                  <c:v>8.5409131761910171</c:v>
                </c:pt>
                <c:pt idx="2">
                  <c:v>8.7178370934879528</c:v>
                </c:pt>
                <c:pt idx="3">
                  <c:v>8.7272165585418602</c:v>
                </c:pt>
                <c:pt idx="4">
                  <c:v>8.9589125733704051</c:v>
                </c:pt>
                <c:pt idx="5">
                  <c:v>9.4686441475402194</c:v>
                </c:pt>
                <c:pt idx="6">
                  <c:v>9.7978398654178687</c:v>
                </c:pt>
                <c:pt idx="7">
                  <c:v>9.2999579740031137</c:v>
                </c:pt>
                <c:pt idx="8">
                  <c:v>9.3713876335498281</c:v>
                </c:pt>
                <c:pt idx="9">
                  <c:v>9.4754175586789842</c:v>
                </c:pt>
                <c:pt idx="10">
                  <c:v>9.6333842106722685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9-49C5-8F84-4E67996B1760}"/>
            </c:ext>
          </c:extLst>
        </c:ser>
        <c:ser>
          <c:idx val="2"/>
          <c:order val="2"/>
          <c:tx>
            <c:strRef>
              <c:f>'Indicateurs économiques - Citeo'!$B$76</c:f>
              <c:strCache>
                <c:ptCount val="1"/>
                <c:pt idx="0">
                  <c:v>Total soutien aux tonnes triées par habitant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Citeo'!$G$18:$Q$18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Citeo'!$G$76:$Q$76</c:f>
              <c:numCache>
                <c:formatCode>0.00</c:formatCode>
                <c:ptCount val="11"/>
                <c:pt idx="0">
                  <c:v>5.9807533675704896</c:v>
                </c:pt>
                <c:pt idx="1">
                  <c:v>6.8107097703328003</c:v>
                </c:pt>
                <c:pt idx="2">
                  <c:v>7.1721212967702304</c:v>
                </c:pt>
                <c:pt idx="3">
                  <c:v>7.0698177324683362</c:v>
                </c:pt>
                <c:pt idx="4">
                  <c:v>7.2289156626506035</c:v>
                </c:pt>
                <c:pt idx="5">
                  <c:v>7.7077540932962618</c:v>
                </c:pt>
                <c:pt idx="6">
                  <c:v>8.0354938271604954</c:v>
                </c:pt>
                <c:pt idx="7">
                  <c:v>6.5681944951362867</c:v>
                </c:pt>
                <c:pt idx="8">
                  <c:v>6.7815409732688048</c:v>
                </c:pt>
                <c:pt idx="9">
                  <c:v>6.7798184099401029</c:v>
                </c:pt>
                <c:pt idx="10">
                  <c:v>7.4772976675795846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99-49C5-8F84-4E67996B17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7074752"/>
        <c:axId val="427077104"/>
      </c:lineChart>
      <c:catAx>
        <c:axId val="4270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7104"/>
        <c:crosses val="autoZero"/>
        <c:auto val="1"/>
        <c:lblAlgn val="ctr"/>
        <c:lblOffset val="100"/>
        <c:noMultiLvlLbl val="0"/>
      </c:catAx>
      <c:valAx>
        <c:axId val="427077104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4752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00467918407615E-3"/>
          <c:y val="0.83786436269009656"/>
          <c:w val="0.99037995320815908"/>
          <c:h val="0.16213563730990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Dispersion des soutiens par habitant (€/hab)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077270579342995E-2"/>
          <c:y val="0.20454206793293259"/>
          <c:w val="0.91716383321454897"/>
          <c:h val="0.4737718419270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'Indicateurs économiques - Citeo'!$B$82</c:f>
              <c:strCache>
                <c:ptCount val="1"/>
                <c:pt idx="0">
                  <c:v>&lt; 2 €/hab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'Indicateurs économiques - Citeo'!$G$79:$Q$79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Citeo'!$G$82:$Q$82</c:f>
              <c:numCache>
                <c:formatCode>0%</c:formatCode>
                <c:ptCount val="11"/>
                <c:pt idx="0">
                  <c:v>2.7999999999999997E-2</c:v>
                </c:pt>
                <c:pt idx="1">
                  <c:v>7.0667414045172804E-3</c:v>
                </c:pt>
                <c:pt idx="2">
                  <c:v>4.6253469010175763E-3</c:v>
                </c:pt>
                <c:pt idx="3">
                  <c:v>0.01</c:v>
                </c:pt>
                <c:pt idx="4">
                  <c:v>8.4775229486857388E-3</c:v>
                </c:pt>
                <c:pt idx="5">
                  <c:v>2.3479385308589284E-3</c:v>
                </c:pt>
                <c:pt idx="6">
                  <c:v>4.0000000000000001E-3</c:v>
                </c:pt>
                <c:pt idx="7">
                  <c:v>5.2586547981322007E-3</c:v>
                </c:pt>
                <c:pt idx="8">
                  <c:v>4.2857142857142859E-3</c:v>
                </c:pt>
                <c:pt idx="9">
                  <c:v>4.3604651162790697E-3</c:v>
                </c:pt>
                <c:pt idx="10">
                  <c:v>4.3859649122807015E-3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A-4F32-BE48-BD16CBCFF645}"/>
            </c:ext>
          </c:extLst>
        </c:ser>
        <c:ser>
          <c:idx val="1"/>
          <c:order val="1"/>
          <c:tx>
            <c:strRef>
              <c:f>'Indicateurs économiques - Citeo'!$B$83</c:f>
              <c:strCache>
                <c:ptCount val="1"/>
                <c:pt idx="0">
                  <c:v>2 à 4 €/hab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'Indicateurs économiques - Citeo'!$G$79:$Q$79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Citeo'!$G$83:$O$83</c:f>
              <c:numCache>
                <c:formatCode>0%</c:formatCode>
                <c:ptCount val="9"/>
                <c:pt idx="0">
                  <c:v>4.0999999999999995E-2</c:v>
                </c:pt>
                <c:pt idx="1">
                  <c:v>3.8806489063750615E-2</c:v>
                </c:pt>
                <c:pt idx="2">
                  <c:v>4.1628122109158186E-2</c:v>
                </c:pt>
                <c:pt idx="3">
                  <c:v>3.4000000000000002E-2</c:v>
                </c:pt>
                <c:pt idx="4">
                  <c:v>3.8500670981314634E-2</c:v>
                </c:pt>
                <c:pt idx="5">
                  <c:v>4.2892570515405022E-2</c:v>
                </c:pt>
                <c:pt idx="6">
                  <c:v>5.0999999999999997E-2</c:v>
                </c:pt>
                <c:pt idx="7">
                  <c:v>3.7604908715970192E-2</c:v>
                </c:pt>
                <c:pt idx="8">
                  <c:v>2.1428571428571429E-2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A-4F32-BE48-BD16CBCFF645}"/>
            </c:ext>
          </c:extLst>
        </c:ser>
        <c:ser>
          <c:idx val="2"/>
          <c:order val="2"/>
          <c:tx>
            <c:strRef>
              <c:f>'Indicateurs économiques - Citeo'!$B$84</c:f>
              <c:strCache>
                <c:ptCount val="1"/>
                <c:pt idx="0">
                  <c:v>4 à 6 €/hab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'Indicateurs économiques - Citeo'!$G$79:$Q$79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Citeo'!$G$84:$Q$84</c:f>
              <c:numCache>
                <c:formatCode>0%</c:formatCode>
                <c:ptCount val="11"/>
                <c:pt idx="0">
                  <c:v>0.29399999999999998</c:v>
                </c:pt>
                <c:pt idx="1">
                  <c:v>0.20441776316573301</c:v>
                </c:pt>
                <c:pt idx="2">
                  <c:v>0.12210915818686402</c:v>
                </c:pt>
                <c:pt idx="3">
                  <c:v>0.217</c:v>
                </c:pt>
                <c:pt idx="4">
                  <c:v>0.2414679106201007</c:v>
                </c:pt>
                <c:pt idx="5">
                  <c:v>0.20746637820393518</c:v>
                </c:pt>
                <c:pt idx="6">
                  <c:v>0.15</c:v>
                </c:pt>
                <c:pt idx="7">
                  <c:v>0.17608274242885597</c:v>
                </c:pt>
                <c:pt idx="8">
                  <c:v>7.7142857142857138E-2</c:v>
                </c:pt>
                <c:pt idx="9">
                  <c:v>5.9593023255813955E-2</c:v>
                </c:pt>
                <c:pt idx="10">
                  <c:v>4.5321637426900582E-2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6A-4F32-BE48-BD16CBCFF645}"/>
            </c:ext>
          </c:extLst>
        </c:ser>
        <c:ser>
          <c:idx val="3"/>
          <c:order val="3"/>
          <c:tx>
            <c:strRef>
              <c:f>'Indicateurs économiques - Citeo'!$B$85</c:f>
              <c:strCache>
                <c:ptCount val="1"/>
                <c:pt idx="0">
                  <c:v>6 à 8 €/hab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'Indicateurs économiques - Citeo'!$G$79:$Q$79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Citeo'!$G$85:$Q$85</c:f>
              <c:numCache>
                <c:formatCode>0%</c:formatCode>
                <c:ptCount val="11"/>
                <c:pt idx="0">
                  <c:v>0.22899999999999998</c:v>
                </c:pt>
                <c:pt idx="1">
                  <c:v>0.23687909897599246</c:v>
                </c:pt>
                <c:pt idx="2">
                  <c:v>0.20074005550416282</c:v>
                </c:pt>
                <c:pt idx="3">
                  <c:v>0.216</c:v>
                </c:pt>
                <c:pt idx="4">
                  <c:v>0.19953204582563594</c:v>
                </c:pt>
                <c:pt idx="5">
                  <c:v>0.2186212557085685</c:v>
                </c:pt>
                <c:pt idx="6">
                  <c:v>0.21299999999999999</c:v>
                </c:pt>
                <c:pt idx="7">
                  <c:v>0.21243369987947919</c:v>
                </c:pt>
                <c:pt idx="8">
                  <c:v>0.17571428571428571</c:v>
                </c:pt>
                <c:pt idx="9">
                  <c:v>0.16133720930232559</c:v>
                </c:pt>
                <c:pt idx="10">
                  <c:v>0.16228070175438597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6A-4F32-BE48-BD16CBCFF645}"/>
            </c:ext>
          </c:extLst>
        </c:ser>
        <c:ser>
          <c:idx val="4"/>
          <c:order val="4"/>
          <c:tx>
            <c:strRef>
              <c:f>'Indicateurs économiques - Citeo'!$B$86</c:f>
              <c:strCache>
                <c:ptCount val="1"/>
                <c:pt idx="0">
                  <c:v>8 à 10 €/hab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'Indicateurs économiques - Citeo'!$G$79:$Q$79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Citeo'!$G$86:$Q$86</c:f>
              <c:numCache>
                <c:formatCode>0%</c:formatCode>
                <c:ptCount val="11"/>
                <c:pt idx="0">
                  <c:v>0.17699999999999999</c:v>
                </c:pt>
                <c:pt idx="1">
                  <c:v>0.20945404669213605</c:v>
                </c:pt>
                <c:pt idx="2">
                  <c:v>0.21369102682701202</c:v>
                </c:pt>
                <c:pt idx="3">
                  <c:v>0.218</c:v>
                </c:pt>
                <c:pt idx="4">
                  <c:v>0.22156796923990579</c:v>
                </c:pt>
                <c:pt idx="5">
                  <c:v>0.20542281814546948</c:v>
                </c:pt>
                <c:pt idx="6">
                  <c:v>0.186</c:v>
                </c:pt>
                <c:pt idx="7">
                  <c:v>0.15316417268207122</c:v>
                </c:pt>
                <c:pt idx="8">
                  <c:v>0.19142857142857142</c:v>
                </c:pt>
                <c:pt idx="9">
                  <c:v>0.18459302325581395</c:v>
                </c:pt>
                <c:pt idx="10">
                  <c:v>0.18274853801169591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6A-4F32-BE48-BD16CBCFF645}"/>
            </c:ext>
          </c:extLst>
        </c:ser>
        <c:ser>
          <c:idx val="5"/>
          <c:order val="5"/>
          <c:tx>
            <c:strRef>
              <c:f>'Indicateurs économiques - Citeo'!$B$87</c:f>
              <c:strCache>
                <c:ptCount val="1"/>
                <c:pt idx="0">
                  <c:v>10 à 12 €/hab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'Indicateurs économiques - Citeo'!$G$79:$Q$79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Citeo'!$G$87:$Q$87</c:f>
              <c:numCache>
                <c:formatCode>0%</c:formatCode>
                <c:ptCount val="11"/>
                <c:pt idx="0">
                  <c:v>0.12</c:v>
                </c:pt>
                <c:pt idx="1">
                  <c:v>0.12933975654672752</c:v>
                </c:pt>
                <c:pt idx="2">
                  <c:v>0.1702127659574468</c:v>
                </c:pt>
                <c:pt idx="3">
                  <c:v>0.13200000000000001</c:v>
                </c:pt>
                <c:pt idx="4">
                  <c:v>0.15766634063027671</c:v>
                </c:pt>
                <c:pt idx="5">
                  <c:v>0.16714307997975933</c:v>
                </c:pt>
                <c:pt idx="6">
                  <c:v>0.19500000000000001</c:v>
                </c:pt>
                <c:pt idx="7">
                  <c:v>0.17786984481806098</c:v>
                </c:pt>
                <c:pt idx="8">
                  <c:v>0.21571428571428572</c:v>
                </c:pt>
                <c:pt idx="9">
                  <c:v>0.21366279069767441</c:v>
                </c:pt>
                <c:pt idx="10">
                  <c:v>0.20614035087719298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6A-4F32-BE48-BD16CBCFF645}"/>
            </c:ext>
          </c:extLst>
        </c:ser>
        <c:ser>
          <c:idx val="6"/>
          <c:order val="6"/>
          <c:tx>
            <c:strRef>
              <c:f>'Indicateurs économiques - Citeo'!$B$88</c:f>
              <c:strCache>
                <c:ptCount val="1"/>
                <c:pt idx="0">
                  <c:v>12 à 14 €/hab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'Indicateurs économiques - Citeo'!$G$79:$Q$79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Citeo'!$G$88:$Q$88</c:f>
              <c:numCache>
                <c:formatCode>0%</c:formatCode>
                <c:ptCount val="11"/>
                <c:pt idx="0">
                  <c:v>7.5999999999999998E-2</c:v>
                </c:pt>
                <c:pt idx="1">
                  <c:v>8.9090454129018226E-2</c:v>
                </c:pt>
                <c:pt idx="2">
                  <c:v>0.11748381128584644</c:v>
                </c:pt>
                <c:pt idx="3">
                  <c:v>0.104</c:v>
                </c:pt>
                <c:pt idx="4">
                  <c:v>7.0041512821415672E-2</c:v>
                </c:pt>
                <c:pt idx="5">
                  <c:v>8.6777679527744456E-2</c:v>
                </c:pt>
                <c:pt idx="6">
                  <c:v>0.10100000000000001</c:v>
                </c:pt>
                <c:pt idx="7">
                  <c:v>0.13164069361154618</c:v>
                </c:pt>
                <c:pt idx="8">
                  <c:v>0.15142857142857144</c:v>
                </c:pt>
                <c:pt idx="9">
                  <c:v>0.17151162790697674</c:v>
                </c:pt>
                <c:pt idx="10">
                  <c:v>0.17543859649122806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6A-4F32-BE48-BD16CBCFF645}"/>
            </c:ext>
          </c:extLst>
        </c:ser>
        <c:ser>
          <c:idx val="7"/>
          <c:order val="7"/>
          <c:tx>
            <c:strRef>
              <c:f>'Indicateurs économiques - Citeo'!$B$89</c:f>
              <c:strCache>
                <c:ptCount val="1"/>
                <c:pt idx="0">
                  <c:v>&gt; 14 €/hab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'Indicateurs économiques - Citeo'!$G$79:$Q$79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'Indicateurs économiques - Citeo'!$G$89:$Q$89</c:f>
              <c:numCache>
                <c:formatCode>0%</c:formatCode>
                <c:ptCount val="11"/>
                <c:pt idx="0">
                  <c:v>3.5000000000000003E-2</c:v>
                </c:pt>
                <c:pt idx="1">
                  <c:v>8.4945650022124841E-2</c:v>
                </c:pt>
                <c:pt idx="2">
                  <c:v>0.12950971322849214</c:v>
                </c:pt>
                <c:pt idx="3">
                  <c:v>6.9000000000000006E-2</c:v>
                </c:pt>
                <c:pt idx="4">
                  <c:v>6.2746026932664817E-2</c:v>
                </c:pt>
                <c:pt idx="5">
                  <c:v>6.9328279388259084E-2</c:v>
                </c:pt>
                <c:pt idx="6">
                  <c:v>0.1</c:v>
                </c:pt>
                <c:pt idx="7">
                  <c:v>0.1059452830658841</c:v>
                </c:pt>
                <c:pt idx="8">
                  <c:v>0.16285714285714287</c:v>
                </c:pt>
                <c:pt idx="9">
                  <c:v>0.18313953488372092</c:v>
                </c:pt>
                <c:pt idx="10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6A-4F32-BE48-BD16CBCFF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718624"/>
        <c:axId val="158719456"/>
      </c:barChart>
      <c:catAx>
        <c:axId val="1587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58719456"/>
        <c:crosses val="autoZero"/>
        <c:auto val="1"/>
        <c:lblAlgn val="ctr"/>
        <c:lblOffset val="100"/>
        <c:noMultiLvlLbl val="0"/>
      </c:catAx>
      <c:valAx>
        <c:axId val="158719456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5871862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92804344422379"/>
          <c:y val="0.82785353584623866"/>
          <c:w val="0.78181143954314347"/>
          <c:h val="0.13665851932392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Dispersion des soutiens selon la performance à l'arrêté des comptes 2021 (€/hab)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'Indicateurs économiques - Citeo'!$E$93</c:f>
              <c:strCache>
                <c:ptCount val="1"/>
                <c:pt idx="0">
                  <c:v>&lt; 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'Indicateurs économiques - Citeo'!$B$94:$B$101</c:f>
              <c:strCache>
                <c:ptCount val="8"/>
                <c:pt idx="0">
                  <c:v>&lt; 2 €/hab</c:v>
                </c:pt>
                <c:pt idx="1">
                  <c:v>2 à 4 €/hab</c:v>
                </c:pt>
                <c:pt idx="2">
                  <c:v>4 à 6 €/hab</c:v>
                </c:pt>
                <c:pt idx="3">
                  <c:v>6 à 8 €/hab</c:v>
                </c:pt>
                <c:pt idx="4">
                  <c:v>8 à 10 €/hab</c:v>
                </c:pt>
                <c:pt idx="5">
                  <c:v>10 à 12 €/hab</c:v>
                </c:pt>
                <c:pt idx="6">
                  <c:v>12 à 14 €/hab</c:v>
                </c:pt>
                <c:pt idx="7">
                  <c:v>&gt; 14 €/hab</c:v>
                </c:pt>
              </c:strCache>
            </c:strRef>
          </c:cat>
          <c:val>
            <c:numRef>
              <c:f>'Indicateurs économiques - Citeo'!$E$94:$E$101</c:f>
              <c:numCache>
                <c:formatCode>0%</c:formatCode>
                <c:ptCount val="8"/>
                <c:pt idx="0">
                  <c:v>4.3859649122807015E-3</c:v>
                </c:pt>
                <c:pt idx="1">
                  <c:v>1.023391812865497E-2</c:v>
                </c:pt>
                <c:pt idx="2">
                  <c:v>1.023391812865497E-2</c:v>
                </c:pt>
                <c:pt idx="3">
                  <c:v>4.3859649122807015E-3</c:v>
                </c:pt>
                <c:pt idx="4">
                  <c:v>0</c:v>
                </c:pt>
                <c:pt idx="5">
                  <c:v>1.4619883040935672E-3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6-498C-880F-8534ECCC5443}"/>
            </c:ext>
          </c:extLst>
        </c:ser>
        <c:ser>
          <c:idx val="1"/>
          <c:order val="1"/>
          <c:tx>
            <c:strRef>
              <c:f>'Indicateurs économiques - Citeo'!$F$93</c:f>
              <c:strCache>
                <c:ptCount val="1"/>
                <c:pt idx="0">
                  <c:v>8 à 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'Indicateurs économiques - Citeo'!$B$94:$B$101</c:f>
              <c:strCache>
                <c:ptCount val="8"/>
                <c:pt idx="0">
                  <c:v>&lt; 2 €/hab</c:v>
                </c:pt>
                <c:pt idx="1">
                  <c:v>2 à 4 €/hab</c:v>
                </c:pt>
                <c:pt idx="2">
                  <c:v>4 à 6 €/hab</c:v>
                </c:pt>
                <c:pt idx="3">
                  <c:v>6 à 8 €/hab</c:v>
                </c:pt>
                <c:pt idx="4">
                  <c:v>8 à 10 €/hab</c:v>
                </c:pt>
                <c:pt idx="5">
                  <c:v>10 à 12 €/hab</c:v>
                </c:pt>
                <c:pt idx="6">
                  <c:v>12 à 14 €/hab</c:v>
                </c:pt>
                <c:pt idx="7">
                  <c:v>&gt; 14 €/hab</c:v>
                </c:pt>
              </c:strCache>
            </c:strRef>
          </c:cat>
          <c:val>
            <c:numRef>
              <c:f>'Indicateurs économiques - Citeo'!$F$94:$F$101</c:f>
              <c:numCache>
                <c:formatCode>0%</c:formatCode>
                <c:ptCount val="8"/>
                <c:pt idx="0">
                  <c:v>0</c:v>
                </c:pt>
                <c:pt idx="1">
                  <c:v>2.9239766081871343E-3</c:v>
                </c:pt>
                <c:pt idx="2">
                  <c:v>2.1929824561403508E-2</c:v>
                </c:pt>
                <c:pt idx="3">
                  <c:v>1.4619883040935672E-2</c:v>
                </c:pt>
                <c:pt idx="4">
                  <c:v>5.8479532163742687E-3</c:v>
                </c:pt>
                <c:pt idx="5">
                  <c:v>1.4619883040935672E-3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66-498C-880F-8534ECCC5443}"/>
            </c:ext>
          </c:extLst>
        </c:ser>
        <c:ser>
          <c:idx val="2"/>
          <c:order val="2"/>
          <c:tx>
            <c:strRef>
              <c:f>'Indicateurs économiques - Citeo'!$G$93</c:f>
              <c:strCache>
                <c:ptCount val="1"/>
                <c:pt idx="0">
                  <c:v>12 à 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2.27693846797899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E0-4922-BD87-EE7EB055A979}"/>
                </c:ext>
              </c:extLst>
            </c:dLbl>
            <c:dLbl>
              <c:idx val="5"/>
              <c:layout>
                <c:manualLayout>
                  <c:x val="-1.3166262762369613E-16"/>
                  <c:y val="-2.84617308497372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E0-4922-BD87-EE7EB055A979}"/>
                </c:ext>
              </c:extLst>
            </c:dLbl>
            <c:dLbl>
              <c:idx val="6"/>
              <c:layout>
                <c:manualLayout>
                  <c:x val="-1.3166262762369613E-16"/>
                  <c:y val="-3.41540770196848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E0-4922-BD87-EE7EB055A9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'Indicateurs économiques - Citeo'!$B$94:$B$101</c:f>
              <c:strCache>
                <c:ptCount val="8"/>
                <c:pt idx="0">
                  <c:v>&lt; 2 €/hab</c:v>
                </c:pt>
                <c:pt idx="1">
                  <c:v>2 à 4 €/hab</c:v>
                </c:pt>
                <c:pt idx="2">
                  <c:v>4 à 6 €/hab</c:v>
                </c:pt>
                <c:pt idx="3">
                  <c:v>6 à 8 €/hab</c:v>
                </c:pt>
                <c:pt idx="4">
                  <c:v>8 à 10 €/hab</c:v>
                </c:pt>
                <c:pt idx="5">
                  <c:v>10 à 12 €/hab</c:v>
                </c:pt>
                <c:pt idx="6">
                  <c:v>12 à 14 €/hab</c:v>
                </c:pt>
                <c:pt idx="7">
                  <c:v>&gt; 14 €/hab</c:v>
                </c:pt>
              </c:strCache>
            </c:strRef>
          </c:cat>
          <c:val>
            <c:numRef>
              <c:f>'Indicateurs économiques - Citeo'!$G$94:$G$101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1.3157894736842105E-2</c:v>
                </c:pt>
                <c:pt idx="3">
                  <c:v>8.3333333333333329E-2</c:v>
                </c:pt>
                <c:pt idx="4">
                  <c:v>4.6783625730994149E-2</c:v>
                </c:pt>
                <c:pt idx="5">
                  <c:v>2.3391812865497075E-2</c:v>
                </c:pt>
                <c:pt idx="6">
                  <c:v>7.3099415204678359E-3</c:v>
                </c:pt>
                <c:pt idx="7">
                  <c:v>1.4619883040935672E-3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66-498C-880F-8534ECCC5443}"/>
            </c:ext>
          </c:extLst>
        </c:ser>
        <c:ser>
          <c:idx val="3"/>
          <c:order val="3"/>
          <c:tx>
            <c:strRef>
              <c:f>'Indicateurs économiques - Citeo'!$H$93</c:f>
              <c:strCache>
                <c:ptCount val="1"/>
                <c:pt idx="0">
                  <c:v>&gt;16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7.78287150626651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E0-4922-BD87-EE7EB055A979}"/>
                </c:ext>
              </c:extLst>
            </c:dLbl>
            <c:dLbl>
              <c:idx val="5"/>
              <c:layout>
                <c:manualLayout>
                  <c:x val="0"/>
                  <c:y val="4.496057041790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E0-4922-BD87-EE7EB055A979}"/>
                </c:ext>
              </c:extLst>
            </c:dLbl>
            <c:dLbl>
              <c:idx val="6"/>
              <c:layout>
                <c:manualLayout>
                  <c:x val="0"/>
                  <c:y val="-1.21592099919948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E0-4922-BD87-EE7EB055A9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'Indicateurs économiques - Citeo'!$B$94:$B$101</c:f>
              <c:strCache>
                <c:ptCount val="8"/>
                <c:pt idx="0">
                  <c:v>&lt; 2 €/hab</c:v>
                </c:pt>
                <c:pt idx="1">
                  <c:v>2 à 4 €/hab</c:v>
                </c:pt>
                <c:pt idx="2">
                  <c:v>4 à 6 €/hab</c:v>
                </c:pt>
                <c:pt idx="3">
                  <c:v>6 à 8 €/hab</c:v>
                </c:pt>
                <c:pt idx="4">
                  <c:v>8 à 10 €/hab</c:v>
                </c:pt>
                <c:pt idx="5">
                  <c:v>10 à 12 €/hab</c:v>
                </c:pt>
                <c:pt idx="6">
                  <c:v>12 à 14 €/hab</c:v>
                </c:pt>
                <c:pt idx="7">
                  <c:v>&gt; 14 €/hab</c:v>
                </c:pt>
              </c:strCache>
            </c:strRef>
          </c:cat>
          <c:val>
            <c:numRef>
              <c:f>'Indicateurs économiques - Citeo'!$H$94:$H$101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5.9941520467836254E-2</c:v>
                </c:pt>
                <c:pt idx="4">
                  <c:v>0.13011695906432749</c:v>
                </c:pt>
                <c:pt idx="5">
                  <c:v>0.17982456140350878</c:v>
                </c:pt>
                <c:pt idx="6">
                  <c:v>0.16812865497076024</c:v>
                </c:pt>
                <c:pt idx="7">
                  <c:v>0.20906432748538012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66-498C-880F-8534ECCC5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268992"/>
        <c:axId val="408255264"/>
      </c:barChart>
      <c:catAx>
        <c:axId val="4082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08255264"/>
        <c:crosses val="autoZero"/>
        <c:auto val="1"/>
        <c:lblAlgn val="ctr"/>
        <c:lblOffset val="100"/>
        <c:noMultiLvlLbl val="0"/>
      </c:catAx>
      <c:valAx>
        <c:axId val="408255264"/>
        <c:scaling>
          <c:orientation val="minMax"/>
          <c:max val="0.2100000000000000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08268992"/>
        <c:crosses val="autoZero"/>
        <c:crossBetween val="between"/>
        <c:majorUnit val="7.0000000000000007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35704315193823"/>
          <c:y val="0.8739714840275874"/>
          <c:w val="0.58161977992592973"/>
          <c:h val="9.3241644833851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025160030962457"/>
          <c:y val="4.56844227989011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1206041020595296E-2"/>
          <c:y val="0.28039140494029408"/>
          <c:w val="0.77879709000130892"/>
          <c:h val="0.62585940363190351"/>
        </c:manualLayout>
      </c:layout>
      <c:ofPieChart>
        <c:ofPieType val="bar"/>
        <c:varyColors val="1"/>
        <c:ser>
          <c:idx val="0"/>
          <c:order val="0"/>
          <c:tx>
            <c:v>Répartition des soutiens en 2020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DA-40CE-965F-5E7BA0E01D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A-40CE-965F-5E7BA0E01D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5F8-433E-A3D2-6B8A6FF67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F8-433E-A3D2-6B8A6FF67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5F8-433E-A3D2-6B8A6FF67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F8-433E-A3D2-6B8A6FF67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5F8-433E-A3D2-6B8A6FF67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F8-433E-A3D2-6B8A6FF67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5DA-40CE-965F-5E7BA0E01D0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5DA-40CE-965F-5E7BA0E01D0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5DA-40CE-965F-5E7BA0E01D0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F8-433E-A3D2-6B8A6FF6714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5DA-40CE-965F-5E7BA0E01D0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5F8-433E-A3D2-6B8A6FF6714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E29-4AC1-BB87-90C26194F98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E29-4AC1-BB87-90C26194F98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E29-4AC1-BB87-90C26194F985}"/>
              </c:ext>
            </c:extLst>
          </c:dPt>
          <c:dLbls>
            <c:dLbl>
              <c:idx val="2"/>
              <c:layout>
                <c:manualLayout>
                  <c:x val="-2.6723103617045722E-2"/>
                  <c:y val="1.47136003484921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8-433E-A3D2-6B8A6FF67141}"/>
                </c:ext>
              </c:extLst>
            </c:dLbl>
            <c:dLbl>
              <c:idx val="3"/>
              <c:layout>
                <c:manualLayout>
                  <c:x val="-1.3361551808522861E-2"/>
                  <c:y val="-5.39498679444714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8-433E-A3D2-6B8A6FF67141}"/>
                </c:ext>
              </c:extLst>
            </c:dLbl>
            <c:dLbl>
              <c:idx val="4"/>
              <c:layout>
                <c:manualLayout>
                  <c:x val="2.6723103617045673E-2"/>
                  <c:y val="9.809066898994779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8-433E-A3D2-6B8A6FF67141}"/>
                </c:ext>
              </c:extLst>
            </c:dLbl>
            <c:dLbl>
              <c:idx val="5"/>
              <c:layout>
                <c:manualLayout>
                  <c:x val="6.948006940431882E-2"/>
                  <c:y val="-4.4140801045476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8-433E-A3D2-6B8A6FF67141}"/>
                </c:ext>
              </c:extLst>
            </c:dLbl>
            <c:dLbl>
              <c:idx val="6"/>
              <c:layout>
                <c:manualLayout>
                  <c:x val="4.275696578727315E-2"/>
                  <c:y val="2.45226672474870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8-433E-A3D2-6B8A6FF67141}"/>
                </c:ext>
              </c:extLst>
            </c:dLbl>
            <c:dLbl>
              <c:idx val="7"/>
              <c:layout>
                <c:manualLayout>
                  <c:x val="-1.3361551808522861E-2"/>
                  <c:y val="9.809066898994802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8-433E-A3D2-6B8A6FF67141}"/>
                </c:ext>
              </c:extLst>
            </c:dLbl>
            <c:dLbl>
              <c:idx val="8"/>
              <c:layout>
                <c:manualLayout>
                  <c:x val="-1.8706172531932005E-2"/>
                  <c:y val="-2.94272006969844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DA-40CE-965F-5E7BA0E01D0A}"/>
                </c:ext>
              </c:extLst>
            </c:dLbl>
            <c:dLbl>
              <c:idx val="9"/>
              <c:layout>
                <c:manualLayout>
                  <c:x val="0.21378482893636577"/>
                  <c:y val="0.39726720940928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DA-40CE-965F-5E7BA0E01D0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3B4D31B-EDF5-4484-812A-F9691F0BB9D4}" type="CELLREF">
                      <a:rPr lang="en-US"/>
                      <a:pPr/>
                      <a:t>[REFCELL]</a:t>
                    </a:fld>
                    <a:r>
                      <a:rPr lang="en-US" baseline="0"/>
                      <a:t>; </a:t>
                    </a:r>
                    <a:fld id="{C06D8273-3558-4D2F-8DF9-5A3B1EC9E334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{03B4D31B-EDF5-4484-812A-F9691F0BB9D4}</c15:txfldGUID>
                      <c15:f>'Indicateurs économiques - Citeo'!$R$40</c15:f>
                      <c15:dlblFieldTableCache>
                        <c:ptCount val="1"/>
                        <c:pt idx="0">
                          <c:v>SAZE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75DA-40CE-965F-5E7BA0E01D0A}"/>
                </c:ext>
              </c:extLst>
            </c:dLbl>
            <c:dLbl>
              <c:idx val="11"/>
              <c:layout>
                <c:manualLayout>
                  <c:x val="-9.798358134780798E-17"/>
                  <c:y val="2.4522667247487005E-2"/>
                </c:manualLayout>
              </c:layout>
              <c:tx>
                <c:rich>
                  <a:bodyPr/>
                  <a:lstStyle/>
                  <a:p>
                    <a:fld id="{5E77CD7B-7C2C-48D8-9A0E-130846F97CF5}" type="CELLREF">
                      <a:rPr lang="en-US"/>
                      <a:pPr/>
                      <a:t>[REFCELL]</a:t>
                    </a:fld>
                    <a:r>
                      <a:rPr lang="en-US" baseline="0"/>
                      <a:t>; </a:t>
                    </a:r>
                    <a:fld id="{B3468A40-5AEE-4D30-B12B-4E3D0D811DE5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{5E77CD7B-7C2C-48D8-9A0E-130846F97CF5}</c15:txfldGUID>
                      <c15:f>'Indicateurs économiques - Citeo'!$R$41</c15:f>
                      <c15:dlblFieldTableCache>
                        <c:ptCount val="1"/>
                        <c:pt idx="0">
                          <c:v>SFILIERES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5F8-433E-A3D2-6B8A6FF67141}"/>
                </c:ext>
              </c:extLst>
            </c:dLbl>
            <c:dLbl>
              <c:idx val="12"/>
              <c:layout>
                <c:manualLayout>
                  <c:x val="-4.0084655425569561E-3"/>
                  <c:y val="-3.1879467421733108E-2"/>
                </c:manualLayout>
              </c:layout>
              <c:tx>
                <c:rich>
                  <a:bodyPr/>
                  <a:lstStyle/>
                  <a:p>
                    <a:fld id="{60EADC10-E899-43A1-BB4C-ABEF29ED75E5}" type="CELLREF">
                      <a:rPr lang="en-US"/>
                      <a:pPr/>
                      <a:t>[REFCELL]</a:t>
                    </a:fld>
                    <a:r>
                      <a:rPr lang="en-US" baseline="0"/>
                      <a:t>; </a:t>
                    </a:r>
                    <a:fld id="{F0DFEAE3-94DA-4322-A9C7-A65AE146F6AF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5820359301597"/>
                      <c:h val="7.8129217850493607E-2"/>
                    </c:manualLayout>
                  </c15:layout>
                  <c15:dlblFieldTable>
                    <c15:dlblFTEntry>
                      <c15:txfldGUID>{60EADC10-E899-43A1-BB4C-ABEF29ED75E5}</c15:txfldGUID>
                      <c15:f>'Indicateurs économiques - Citeo'!$R$42</c15:f>
                      <c15:dlblFieldTableCache>
                        <c:ptCount val="1"/>
                        <c:pt idx="0">
                          <c:v>SPNEGAZE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75DA-40CE-965F-5E7BA0E01D0A}"/>
                </c:ext>
              </c:extLst>
            </c:dLbl>
            <c:dLbl>
              <c:idx val="13"/>
              <c:layout>
                <c:manualLayout>
                  <c:x val="-8.0168258760443586E-3"/>
                  <c:y val="-8.9915407863654601E-17"/>
                </c:manualLayout>
              </c:layout>
              <c:tx>
                <c:rich>
                  <a:bodyPr/>
                  <a:lstStyle/>
                  <a:p>
                    <a:fld id="{5438A93C-80CB-464E-95C0-873321D60528}" type="CELLREF">
                      <a:rPr lang="en-US"/>
                      <a:pPr/>
                      <a:t>[REFCELL]</a:t>
                    </a:fld>
                    <a:r>
                      <a:rPr lang="en-US" baseline="0"/>
                      <a:t>; </a:t>
                    </a:r>
                    <a:fld id="{D04EAC11-2E3D-47F5-9D6D-D60EBF3660A7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59340776804848"/>
                      <c:h val="7.8129217850493607E-2"/>
                    </c:manualLayout>
                  </c15:layout>
                  <c15:dlblFieldTable>
                    <c15:dlblFTEntry>
                      <c15:txfldGUID>{5438A93C-80CB-464E-95C0-873321D60528}</c15:txfldGUID>
                      <c15:f>'Indicateurs économiques - Citeo'!$R$45</c15:f>
                      <c15:dlblFieldTableCache>
                        <c:ptCount val="1"/>
                        <c:pt idx="0">
                          <c:v>SACCOMP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5F8-433E-A3D2-6B8A6FF67141}"/>
                </c:ext>
              </c:extLst>
            </c:dLbl>
            <c:dLbl>
              <c:idx val="14"/>
              <c:layout>
                <c:manualLayout>
                  <c:x val="-9.798358134780798E-17"/>
                  <c:y val="-1.9618133797989695E-2"/>
                </c:manualLayout>
              </c:layout>
              <c:tx>
                <c:rich>
                  <a:bodyPr/>
                  <a:lstStyle/>
                  <a:p>
                    <a:fld id="{43376D8B-8D37-4BDF-8A3C-57702074BAF7}" type="CELLREF">
                      <a:rPr lang="en-US"/>
                      <a:pPr/>
                      <a:t>[REFCELL]</a:t>
                    </a:fld>
                    <a:r>
                      <a:rPr lang="en-US" baseline="0"/>
                      <a:t>; </a:t>
                    </a:r>
                    <a:fld id="{DB6C6E4D-C5E3-4442-B0A6-869FE74176EC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{43376D8B-8D37-4BDF-8A3C-57702074BAF7}</c15:txfldGUID>
                      <c15:f>'Indicateurs économiques - Citeo'!$R$46</c15:f>
                      <c15:dlblFieldTableCache>
                        <c:ptCount val="1"/>
                        <c:pt idx="0">
                          <c:v>SPDOM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E29-4AC1-BB87-90C26194F9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B285CA1-EB16-431C-B954-6B27EE0AA7C0}" type="CELLREF">
                      <a:rPr lang="en-US"/>
                      <a:pPr/>
                      <a:t>[REFCELL]</a:t>
                    </a:fld>
                    <a:r>
                      <a:rPr lang="en-US" baseline="0"/>
                      <a:t>; </a:t>
                    </a:r>
                    <a:fld id="{96899814-3387-4CC4-A534-074046183A98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{1B285CA1-EB16-431C-B954-6B27EE0AA7C0}</c15:txfldGUID>
                      <c15:f>'Indicateurs économiques - Citeo'!$R$50</c15:f>
                      <c15:dlblFieldTableCache>
                        <c:ptCount val="1"/>
                        <c:pt idx="0">
                          <c:v>POURVOI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E29-4AC1-BB87-90C26194F985}"/>
                </c:ext>
              </c:extLst>
            </c:dLbl>
            <c:dLbl>
              <c:idx val="16"/>
              <c:layout>
                <c:manualLayout>
                  <c:x val="8.2841621212841735E-2"/>
                  <c:y val="-0.38255360906079727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sng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Marianne Light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E29-4AC1-BB87-90C26194F9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('Indicateurs économiques - Citeo'!$R$21:$R$22,'Indicateurs économiques - Citeo'!$R$24,'Indicateurs économiques - Citeo'!$R$29:$R$35,'Indicateurs économiques - Citeo'!$Q$40:$R$42,'Indicateurs économiques - Citeo'!$R$45:$R$46,'Indicateurs économiques - Citeo'!$R$50)</c:f>
              <c:multiLvlStrCache>
                <c:ptCount val="16"/>
                <c:lvl>
                  <c:pt idx="0">
                    <c:v>SCS</c:v>
                  </c:pt>
                  <c:pt idx="1">
                    <c:v>SPR</c:v>
                  </c:pt>
                  <c:pt idx="2">
                    <c:v>SAS</c:v>
                  </c:pt>
                  <c:pt idx="3">
                    <c:v>TORGA</c:v>
                  </c:pt>
                  <c:pt idx="4">
                    <c:v>TUM</c:v>
                  </c:pt>
                  <c:pt idx="5">
                    <c:v>TVRT</c:v>
                  </c:pt>
                  <c:pt idx="6">
                    <c:v>TVOMR</c:v>
                  </c:pt>
                  <c:pt idx="7">
                    <c:v>STRANS</c:v>
                  </c:pt>
                  <c:pt idx="8">
                    <c:v>SCC</c:v>
                  </c:pt>
                  <c:pt idx="9">
                    <c:v>SPNEGCL</c:v>
                  </c:pt>
                  <c:pt idx="10">
                    <c:v>SAZE</c:v>
                  </c:pt>
                  <c:pt idx="11">
                    <c:v>SFILIERES</c:v>
                  </c:pt>
                  <c:pt idx="12">
                    <c:v>SPNEGAZE</c:v>
                  </c:pt>
                  <c:pt idx="13">
                    <c:v>SACCOMP</c:v>
                  </c:pt>
                  <c:pt idx="14">
                    <c:v>SPDOM</c:v>
                  </c:pt>
                  <c:pt idx="15">
                    <c:v>POURVOI</c:v>
                  </c:pt>
                </c:lvl>
                <c:lvl>
                  <c:pt idx="10">
                    <c:v>25,1</c:v>
                  </c:pt>
                  <c:pt idx="11">
                    <c:v>1,1</c:v>
                  </c:pt>
                  <c:pt idx="12">
                    <c:v>1,0</c:v>
                  </c:pt>
                </c:lvl>
              </c:multiLvlStrCache>
            </c:multiLvlStrRef>
          </c:cat>
          <c:val>
            <c:numRef>
              <c:f>('Indicateurs économiques - Citeo'!$Q$21:$Q$22,'Indicateurs économiques - Citeo'!$Q$24,'Indicateurs économiques - Citeo'!$Q$29:$Q$35,'Indicateurs économiques - Citeo'!$Q$40:$Q$42,'Indicateurs économiques - Citeo'!$Q$45:$Q$46,'Indicateurs économiques - Citeo'!$Q$50)</c:f>
              <c:numCache>
                <c:formatCode>0.0</c:formatCode>
                <c:ptCount val="16"/>
                <c:pt idx="0">
                  <c:v>383.86452037999999</c:v>
                </c:pt>
                <c:pt idx="1">
                  <c:v>115.76648342</c:v>
                </c:pt>
                <c:pt idx="2">
                  <c:v>22.853778649999999</c:v>
                </c:pt>
                <c:pt idx="3">
                  <c:v>0</c:v>
                </c:pt>
                <c:pt idx="4">
                  <c:v>6.5611102599999995</c:v>
                </c:pt>
                <c:pt idx="5">
                  <c:v>7.2943323800000002</c:v>
                </c:pt>
                <c:pt idx="6">
                  <c:v>29.204812390000001</c:v>
                </c:pt>
                <c:pt idx="7">
                  <c:v>68.381892350000001</c:v>
                </c:pt>
                <c:pt idx="8">
                  <c:v>10.109702</c:v>
                </c:pt>
                <c:pt idx="9">
                  <c:v>-0.33650952000000001</c:v>
                </c:pt>
                <c:pt idx="10">
                  <c:v>25.116276199999998</c:v>
                </c:pt>
                <c:pt idx="11">
                  <c:v>1.1091790500000001</c:v>
                </c:pt>
                <c:pt idx="12">
                  <c:v>1.0223435300000001</c:v>
                </c:pt>
                <c:pt idx="13">
                  <c:v>18.417795390000002</c:v>
                </c:pt>
                <c:pt idx="14">
                  <c:v>5.3235920800000001</c:v>
                </c:pt>
                <c:pt idx="15">
                  <c:v>2.8007852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8-433E-A3D2-6B8A6FF671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 sz="1400" b="0">
                <a:solidFill>
                  <a:schemeClr val="bg1">
                    <a:lumMod val="50000"/>
                  </a:schemeClr>
                </a:solidFill>
              </a:rPr>
              <a:t>Evolution du total des soutiens directs aux collectivités locales (M€)</a:t>
            </a:r>
            <a:endParaRPr lang="en-US" sz="14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6024541187402544"/>
          <c:y val="1.9600447851595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520904035316143E-2"/>
          <c:y val="0.22955321409563992"/>
          <c:w val="0.88609401874269"/>
          <c:h val="0.52240776551259216"/>
        </c:manualLayout>
      </c:layout>
      <c:lineChart>
        <c:grouping val="standard"/>
        <c:varyColors val="0"/>
        <c:ser>
          <c:idx val="1"/>
          <c:order val="0"/>
          <c:tx>
            <c:strRef>
              <c:f>'Indicateurs économiques - Citeo'!$R$21</c:f>
              <c:strCache>
                <c:ptCount val="1"/>
                <c:pt idx="0">
                  <c:v>SCS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Citeo'!$N$18:$Q$18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'Indicateurs économiques - Citeo'!$N$21:$Q$21</c:f>
              <c:numCache>
                <c:formatCode>0.0</c:formatCode>
                <c:ptCount val="4"/>
                <c:pt idx="0">
                  <c:v>332.71956288882967</c:v>
                </c:pt>
                <c:pt idx="1">
                  <c:v>346.05987082000001</c:v>
                </c:pt>
                <c:pt idx="2">
                  <c:v>350.05612670999994</c:v>
                </c:pt>
                <c:pt idx="3">
                  <c:v>383.86452037999999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8-4A63-8F67-405A92EC6AB0}"/>
            </c:ext>
          </c:extLst>
        </c:ser>
        <c:ser>
          <c:idx val="0"/>
          <c:order val="1"/>
          <c:tx>
            <c:strRef>
              <c:f>'Indicateurs économiques - Citeo'!$R$22</c:f>
              <c:strCache>
                <c:ptCount val="1"/>
                <c:pt idx="0">
                  <c:v>SPR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'Indicateurs économiques - Citeo'!$N$18:$Q$18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'Indicateurs économiques - Citeo'!$N$22:$Q$22</c:f>
              <c:numCache>
                <c:formatCode>0.0</c:formatCode>
                <c:ptCount val="4"/>
                <c:pt idx="0">
                  <c:v>101.5804916963335</c:v>
                </c:pt>
                <c:pt idx="1">
                  <c:v>104.8148073</c:v>
                </c:pt>
                <c:pt idx="2">
                  <c:v>101.86852062</c:v>
                </c:pt>
                <c:pt idx="3">
                  <c:v>115.76648342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8-4A63-8F67-405A92EC6AB0}"/>
            </c:ext>
          </c:extLst>
        </c:ser>
        <c:ser>
          <c:idx val="2"/>
          <c:order val="2"/>
          <c:tx>
            <c:strRef>
              <c:f>'Indicateurs économiques - Citeo'!$R$24</c:f>
              <c:strCache>
                <c:ptCount val="1"/>
                <c:pt idx="0">
                  <c:v>SAS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Citeo'!$N$18:$Q$18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'Indicateurs économiques - Citeo'!$N$24:$Q$24</c:f>
              <c:numCache>
                <c:formatCode>0.0</c:formatCode>
                <c:ptCount val="4"/>
                <c:pt idx="0">
                  <c:v>22.566667949999999</c:v>
                </c:pt>
                <c:pt idx="1">
                  <c:v>22.683675950000001</c:v>
                </c:pt>
                <c:pt idx="2">
                  <c:v>21.679514099999999</c:v>
                </c:pt>
                <c:pt idx="3">
                  <c:v>22.853778649999999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48-4A63-8F67-405A92EC6AB0}"/>
            </c:ext>
          </c:extLst>
        </c:ser>
        <c:ser>
          <c:idx val="3"/>
          <c:order val="3"/>
          <c:tx>
            <c:strRef>
              <c:f>'Indicateurs économiques - Citeo'!$R$29</c:f>
              <c:strCache>
                <c:ptCount val="1"/>
                <c:pt idx="0">
                  <c:v>TORGA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Citeo'!$N$18:$Q$18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'Indicateurs économiques - Citeo'!$N$29:$Q$29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48-4A63-8F67-405A92EC6AB0}"/>
            </c:ext>
          </c:extLst>
        </c:ser>
        <c:ser>
          <c:idx val="4"/>
          <c:order val="4"/>
          <c:tx>
            <c:strRef>
              <c:f>'Indicateurs économiques - Citeo'!$R$30</c:f>
              <c:strCache>
                <c:ptCount val="1"/>
                <c:pt idx="0">
                  <c:v>TUM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Citeo'!$N$18:$Q$18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'Indicateurs économiques - Citeo'!$N$30:$Q$30</c:f>
              <c:numCache>
                <c:formatCode>0.0</c:formatCode>
                <c:ptCount val="4"/>
                <c:pt idx="0">
                  <c:v>6.1037852129999992</c:v>
                </c:pt>
                <c:pt idx="1">
                  <c:v>6.2358627000000002</c:v>
                </c:pt>
                <c:pt idx="2">
                  <c:v>6.6156361200000013</c:v>
                </c:pt>
                <c:pt idx="3">
                  <c:v>6.5611102599999995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48-4A63-8F67-405A92EC6AB0}"/>
            </c:ext>
          </c:extLst>
        </c:ser>
        <c:ser>
          <c:idx val="5"/>
          <c:order val="5"/>
          <c:tx>
            <c:strRef>
              <c:f>'Indicateurs économiques - Citeo'!$R$31</c:f>
              <c:strCache>
                <c:ptCount val="1"/>
                <c:pt idx="0">
                  <c:v>TVRT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Citeo'!$N$18:$Q$18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'Indicateurs économiques - Citeo'!$N$31:$Q$31</c:f>
              <c:numCache>
                <c:formatCode>0.0</c:formatCode>
                <c:ptCount val="4"/>
                <c:pt idx="0">
                  <c:v>4.7218293326649095</c:v>
                </c:pt>
                <c:pt idx="1">
                  <c:v>6.15581727</c:v>
                </c:pt>
                <c:pt idx="2">
                  <c:v>7.0277144099999997</c:v>
                </c:pt>
                <c:pt idx="3">
                  <c:v>7.2943323800000002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48-4A63-8F67-405A92EC6AB0}"/>
            </c:ext>
          </c:extLst>
        </c:ser>
        <c:ser>
          <c:idx val="6"/>
          <c:order val="6"/>
          <c:tx>
            <c:strRef>
              <c:f>'Indicateurs économiques - Citeo'!$R$32</c:f>
              <c:strCache>
                <c:ptCount val="1"/>
                <c:pt idx="0">
                  <c:v>TVOMR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Citeo'!$N$18:$Q$18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'Indicateurs économiques - Citeo'!$N$32:$Q$32</c:f>
              <c:numCache>
                <c:formatCode>0.0</c:formatCode>
                <c:ptCount val="4"/>
                <c:pt idx="0">
                  <c:v>40.747742729988914</c:v>
                </c:pt>
                <c:pt idx="1">
                  <c:v>38.873278749999997</c:v>
                </c:pt>
                <c:pt idx="2">
                  <c:v>33.848717139999998</c:v>
                </c:pt>
                <c:pt idx="3">
                  <c:v>29.204812390000001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48-4A63-8F67-405A92EC6AB0}"/>
            </c:ext>
          </c:extLst>
        </c:ser>
        <c:ser>
          <c:idx val="7"/>
          <c:order val="7"/>
          <c:tx>
            <c:strRef>
              <c:f>'Indicateurs économiques - Citeo'!$R$33</c:f>
              <c:strCache>
                <c:ptCount val="1"/>
                <c:pt idx="0">
                  <c:v>STRANS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Citeo'!$N$18:$Q$18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'Indicateurs économiques - Citeo'!$N$33:$Q$33</c:f>
              <c:numCache>
                <c:formatCode>0.0</c:formatCode>
                <c:ptCount val="4"/>
                <c:pt idx="0">
                  <c:v>97.151197161631103</c:v>
                </c:pt>
                <c:pt idx="1">
                  <c:v>89.057952330000006</c:v>
                </c:pt>
                <c:pt idx="2">
                  <c:v>101.7255722</c:v>
                </c:pt>
                <c:pt idx="3">
                  <c:v>68.381892350000001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48-4A63-8F67-405A92EC6AB0}"/>
            </c:ext>
          </c:extLst>
        </c:ser>
        <c:ser>
          <c:idx val="8"/>
          <c:order val="8"/>
          <c:tx>
            <c:strRef>
              <c:f>'Indicateurs économiques - Citeo'!$R$34</c:f>
              <c:strCache>
                <c:ptCount val="1"/>
                <c:pt idx="0">
                  <c:v>SCC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'Indicateurs économiques - Citeo'!$N$18:$Q$18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'Indicateurs économiques - Citeo'!$N$34:$Q$34</c:f>
              <c:numCache>
                <c:formatCode>0.0</c:formatCode>
                <c:ptCount val="4"/>
                <c:pt idx="0">
                  <c:v>9.3375681980341163</c:v>
                </c:pt>
                <c:pt idx="1">
                  <c:v>9.1808677299999992</c:v>
                </c:pt>
                <c:pt idx="2">
                  <c:v>9.4717180800000005</c:v>
                </c:pt>
                <c:pt idx="3">
                  <c:v>10.109702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48-4A63-8F67-405A92EC6A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7074752"/>
        <c:axId val="427077104"/>
      </c:lineChart>
      <c:catAx>
        <c:axId val="4270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7104"/>
        <c:crosses val="autoZero"/>
        <c:auto val="1"/>
        <c:lblAlgn val="ctr"/>
        <c:lblOffset val="100"/>
        <c:noMultiLvlLbl val="0"/>
      </c:catAx>
      <c:valAx>
        <c:axId val="42707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7074752"/>
        <c:crosses val="autoZero"/>
        <c:crossBetween val="between"/>
        <c:majorUnit val="2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89334443447353E-2"/>
          <c:y val="0.86024819860195789"/>
          <c:w val="0.89999992802446593"/>
          <c:h val="7.5964599559038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tonnages contribuants et recyclage matière et du taux de recyclage d'acier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8399153177558859E-2"/>
          <c:y val="0.25581935865561373"/>
          <c:w val="0.86686836132421763"/>
          <c:h val="0.53498587859109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Acier!$B$7</c:f>
              <c:strCache>
                <c:ptCount val="1"/>
                <c:pt idx="0">
                  <c:v>Tonnage contribuant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Acier!$E$7:$Q$7</c:f>
              <c:numCache>
                <c:formatCode>0</c:formatCode>
                <c:ptCount val="13"/>
                <c:pt idx="0">
                  <c:v>285.41244100160901</c:v>
                </c:pt>
                <c:pt idx="1">
                  <c:v>281.13583722377803</c:v>
                </c:pt>
                <c:pt idx="2">
                  <c:v>286.95983995466906</c:v>
                </c:pt>
                <c:pt idx="3">
                  <c:v>313.67513580303796</c:v>
                </c:pt>
                <c:pt idx="4">
                  <c:v>299.43525774536175</c:v>
                </c:pt>
                <c:pt idx="5">
                  <c:v>278.77891526357462</c:v>
                </c:pt>
                <c:pt idx="6">
                  <c:v>274.02595785750776</c:v>
                </c:pt>
                <c:pt idx="7">
                  <c:v>254.39222331007218</c:v>
                </c:pt>
                <c:pt idx="8">
                  <c:v>252.42663279992021</c:v>
                </c:pt>
                <c:pt idx="9">
                  <c:v>255.25091234674801</c:v>
                </c:pt>
                <c:pt idx="10">
                  <c:v>256.72750100000002</c:v>
                </c:pt>
                <c:pt idx="11">
                  <c:v>268.1216179999999</c:v>
                </c:pt>
                <c:pt idx="12">
                  <c:v>254.60954799999996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A-4F49-8F85-EFDE04CFEA7B}"/>
            </c:ext>
          </c:extLst>
        </c:ser>
        <c:ser>
          <c:idx val="1"/>
          <c:order val="1"/>
          <c:tx>
            <c:strRef>
              <c:f>Acier!$B$8</c:f>
              <c:strCache>
                <c:ptCount val="1"/>
                <c:pt idx="0">
                  <c:v>Tonnage recyclé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Acier!$E$8:$Q$8</c:f>
              <c:numCache>
                <c:formatCode>0</c:formatCode>
                <c:ptCount val="13"/>
                <c:pt idx="0">
                  <c:v>323.29759999999982</c:v>
                </c:pt>
                <c:pt idx="1">
                  <c:v>323.6659499999999</c:v>
                </c:pt>
                <c:pt idx="2">
                  <c:v>336.07846321664965</c:v>
                </c:pt>
                <c:pt idx="3">
                  <c:v>329.79102099999977</c:v>
                </c:pt>
                <c:pt idx="4">
                  <c:v>319.80856099999971</c:v>
                </c:pt>
                <c:pt idx="5">
                  <c:v>318.47392824940562</c:v>
                </c:pt>
                <c:pt idx="6">
                  <c:v>320.81970919999941</c:v>
                </c:pt>
                <c:pt idx="7">
                  <c:v>330.32861299999945</c:v>
                </c:pt>
                <c:pt idx="8">
                  <c:v>334.33931690499963</c:v>
                </c:pt>
                <c:pt idx="9">
                  <c:v>316.215913</c:v>
                </c:pt>
                <c:pt idx="10">
                  <c:v>318.15755000000001</c:v>
                </c:pt>
                <c:pt idx="11">
                  <c:v>324.01222699999994</c:v>
                </c:pt>
                <c:pt idx="12">
                  <c:v>322.73959298245609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A-4F49-8F85-EFDE04CFE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925552"/>
        <c:axId val="533929864"/>
      </c:barChart>
      <c:lineChart>
        <c:grouping val="standard"/>
        <c:varyColors val="0"/>
        <c:ser>
          <c:idx val="2"/>
          <c:order val="2"/>
          <c:tx>
            <c:strRef>
              <c:f>Acier!$B$14</c:f>
              <c:strCache>
                <c:ptCount val="1"/>
                <c:pt idx="0">
                  <c:v>Taux de recyclage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Acier!$E$14:$Q$14</c:f>
              <c:numCache>
                <c:formatCode>0%</c:formatCode>
                <c:ptCount val="13"/>
                <c:pt idx="0">
                  <c:v>1.1327382887215391</c:v>
                </c:pt>
                <c:pt idx="1">
                  <c:v>1.1512795849728998</c:v>
                </c:pt>
                <c:pt idx="2">
                  <c:v>1.1711689805435486</c:v>
                </c:pt>
                <c:pt idx="3">
                  <c:v>1.0513776304127633</c:v>
                </c:pt>
                <c:pt idx="4">
                  <c:v>1.0680390926841465</c:v>
                </c:pt>
                <c:pt idx="5">
                  <c:v>1.1423888637643234</c:v>
                </c:pt>
                <c:pt idx="6">
                  <c:v>1.1707639367757421</c:v>
                </c:pt>
                <c:pt idx="7">
                  <c:v>1.2985012226469295</c:v>
                </c:pt>
                <c:pt idx="8">
                  <c:v>1.324500957749595</c:v>
                </c:pt>
                <c:pt idx="9">
                  <c:v>1.2388434191781987</c:v>
                </c:pt>
                <c:pt idx="10">
                  <c:v>1.2392811395768621</c:v>
                </c:pt>
                <c:pt idx="11">
                  <c:v>1.2084524530953713</c:v>
                </c:pt>
                <c:pt idx="12">
                  <c:v>1.2675863710439332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2A-4F49-8F85-EFDE04CFE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27512"/>
        <c:axId val="533925944"/>
      </c:lineChart>
      <c:catAx>
        <c:axId val="53392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9864"/>
        <c:crosses val="autoZero"/>
        <c:auto val="1"/>
        <c:lblAlgn val="ctr"/>
        <c:lblOffset val="100"/>
        <c:noMultiLvlLbl val="0"/>
      </c:catAx>
      <c:valAx>
        <c:axId val="53392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5552"/>
        <c:crosses val="autoZero"/>
        <c:crossBetween val="between"/>
        <c:majorUnit val="100"/>
      </c:valAx>
      <c:valAx>
        <c:axId val="533925944"/>
        <c:scaling>
          <c:orientation val="minMax"/>
          <c:max val="1.3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7512"/>
        <c:crosses val="max"/>
        <c:crossBetween val="between"/>
        <c:majorUnit val="0.4"/>
      </c:valAx>
      <c:catAx>
        <c:axId val="533927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33925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éco-contributions totales et moyennes pour l'acier (M€ et 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Acier!$E$40:$Q$40</c:f>
              <c:numCache>
                <c:formatCode>#\ ##0.0</c:formatCode>
                <c:ptCount val="13"/>
                <c:pt idx="0">
                  <c:v>11.369370610185999</c:v>
                </c:pt>
                <c:pt idx="1">
                  <c:v>13.753</c:v>
                </c:pt>
                <c:pt idx="2">
                  <c:v>15</c:v>
                </c:pt>
                <c:pt idx="3">
                  <c:v>21</c:v>
                </c:pt>
                <c:pt idx="4">
                  <c:v>20</c:v>
                </c:pt>
                <c:pt idx="5">
                  <c:v>19.207616847600914</c:v>
                </c:pt>
                <c:pt idx="6">
                  <c:v>18</c:v>
                </c:pt>
                <c:pt idx="7">
                  <c:v>16</c:v>
                </c:pt>
                <c:pt idx="8">
                  <c:v>7.9237847896359428</c:v>
                </c:pt>
                <c:pt idx="9">
                  <c:v>11.096110754534054</c:v>
                </c:pt>
                <c:pt idx="10">
                  <c:v>11.142832562489909</c:v>
                </c:pt>
                <c:pt idx="11">
                  <c:v>11.68534970813533</c:v>
                </c:pt>
                <c:pt idx="12">
                  <c:v>11.5135067975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F-4FF9-A697-7682B156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926336"/>
        <c:axId val="533926728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Acier!$E$41:$Q$41</c:f>
              <c:numCache>
                <c:formatCode>#\ ##0.0</c:formatCode>
                <c:ptCount val="13"/>
                <c:pt idx="0">
                  <c:v>39.834880954337606</c:v>
                </c:pt>
                <c:pt idx="1">
                  <c:v>48.91941253669809</c:v>
                </c:pt>
                <c:pt idx="2">
                  <c:v>52.272122825164466</c:v>
                </c:pt>
                <c:pt idx="3">
                  <c:v>66.948245503227469</c:v>
                </c:pt>
                <c:pt idx="4">
                  <c:v>66.792401638313081</c:v>
                </c:pt>
                <c:pt idx="5">
                  <c:v>68.89910174677614</c:v>
                </c:pt>
                <c:pt idx="6">
                  <c:v>65.687207667238283</c:v>
                </c:pt>
                <c:pt idx="7">
                  <c:v>62.89500438265366</c:v>
                </c:pt>
                <c:pt idx="8">
                  <c:v>31.390446807237396</c:v>
                </c:pt>
                <c:pt idx="9">
                  <c:v>43.471385283279375</c:v>
                </c:pt>
                <c:pt idx="10">
                  <c:v>43.403346034556343</c:v>
                </c:pt>
                <c:pt idx="11">
                  <c:v>43.582273579056704</c:v>
                </c:pt>
                <c:pt idx="12">
                  <c:v>45.220247582781155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F-4FF9-A697-7682B156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29080"/>
        <c:axId val="533928688"/>
      </c:lineChart>
      <c:catAx>
        <c:axId val="5339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6728"/>
        <c:crosses val="autoZero"/>
        <c:auto val="1"/>
        <c:lblAlgn val="ctr"/>
        <c:lblOffset val="100"/>
        <c:noMultiLvlLbl val="0"/>
      </c:catAx>
      <c:valAx>
        <c:axId val="53392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6336"/>
        <c:crosses val="autoZero"/>
        <c:crossBetween val="between"/>
      </c:valAx>
      <c:valAx>
        <c:axId val="53392868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9080"/>
        <c:crosses val="max"/>
        <c:crossBetween val="between"/>
      </c:valAx>
      <c:catAx>
        <c:axId val="533929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928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 sz="1400" b="0"/>
              <a:t>Prix de reprise par standard - Acier (€/t)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286523487261326E-2"/>
          <c:y val="0.16351589384660253"/>
          <c:w val="0.90153252722154043"/>
          <c:h val="0.65707538448215741"/>
        </c:manualLayout>
      </c:layout>
      <c:lineChart>
        <c:grouping val="standard"/>
        <c:varyColors val="0"/>
        <c:ser>
          <c:idx val="0"/>
          <c:order val="0"/>
          <c:tx>
            <c:strRef>
              <c:f>Acier!$B$44</c:f>
              <c:strCache>
                <c:ptCount val="1"/>
                <c:pt idx="0">
                  <c:v>Prix de reprise CS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5400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Acier!$E$4:$Q$4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Acier!$E$44:$Q$44</c:f>
              <c:numCache>
                <c:formatCode>#,##0</c:formatCode>
                <c:ptCount val="13"/>
                <c:pt idx="0">
                  <c:v>69</c:v>
                </c:pt>
                <c:pt idx="1">
                  <c:v>120</c:v>
                </c:pt>
                <c:pt idx="2">
                  <c:v>177</c:v>
                </c:pt>
                <c:pt idx="3">
                  <c:v>173</c:v>
                </c:pt>
                <c:pt idx="4">
                  <c:v>148</c:v>
                </c:pt>
                <c:pt idx="5">
                  <c:v>134.19999999999999</c:v>
                </c:pt>
                <c:pt idx="6">
                  <c:v>109.2</c:v>
                </c:pt>
                <c:pt idx="7">
                  <c:v>81.532700000000006</c:v>
                </c:pt>
                <c:pt idx="8">
                  <c:v>108.31599999999997</c:v>
                </c:pt>
                <c:pt idx="9">
                  <c:v>131.19999999999999</c:v>
                </c:pt>
                <c:pt idx="10">
                  <c:v>105.5</c:v>
                </c:pt>
                <c:pt idx="11">
                  <c:v>86.9</c:v>
                </c:pt>
                <c:pt idx="12" formatCode="#\ ##0.0">
                  <c:v>186.24603371001689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99-4E6E-A64A-932DD6AC1AEC}"/>
            </c:ext>
          </c:extLst>
        </c:ser>
        <c:ser>
          <c:idx val="1"/>
          <c:order val="1"/>
          <c:tx>
            <c:strRef>
              <c:f>Acier!$B$45</c:f>
              <c:strCache>
                <c:ptCount val="1"/>
                <c:pt idx="0">
                  <c:v>Prix de reprise mâchefers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5400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Acier!$E$4:$Q$4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Acier!$E$45:$Q$45</c:f>
              <c:numCache>
                <c:formatCode>#,##0</c:formatCode>
                <c:ptCount val="13"/>
                <c:pt idx="0">
                  <c:v>24</c:v>
                </c:pt>
                <c:pt idx="1">
                  <c:v>57</c:v>
                </c:pt>
                <c:pt idx="2">
                  <c:v>73</c:v>
                </c:pt>
                <c:pt idx="3">
                  <c:v>78</c:v>
                </c:pt>
                <c:pt idx="4">
                  <c:v>72</c:v>
                </c:pt>
                <c:pt idx="5">
                  <c:v>56.7</c:v>
                </c:pt>
                <c:pt idx="6">
                  <c:v>47.3</c:v>
                </c:pt>
                <c:pt idx="7">
                  <c:v>30.273599999999998</c:v>
                </c:pt>
                <c:pt idx="8">
                  <c:v>38.61</c:v>
                </c:pt>
                <c:pt idx="9">
                  <c:v>56</c:v>
                </c:pt>
                <c:pt idx="10">
                  <c:v>32.299999999999997</c:v>
                </c:pt>
                <c:pt idx="11">
                  <c:v>15.4</c:v>
                </c:pt>
                <c:pt idx="12" formatCode="#\ ##0.0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9-4E6E-A64A-932DD6AC1AE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3930648"/>
        <c:axId val="533931432"/>
      </c:lineChart>
      <c:catAx>
        <c:axId val="53393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31432"/>
        <c:crosses val="autoZero"/>
        <c:auto val="1"/>
        <c:lblAlgn val="ctr"/>
        <c:lblOffset val="100"/>
        <c:noMultiLvlLbl val="0"/>
      </c:catAx>
      <c:valAx>
        <c:axId val="53393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30648"/>
        <c:crosses val="autoZero"/>
        <c:crossBetween val="between"/>
        <c:majorUnit val="4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08070473095934"/>
          <c:y val="0.91362462932666766"/>
          <c:w val="0.71991841781547172"/>
          <c:h val="7.1354846345894021E-2"/>
        </c:manualLayout>
      </c:layout>
      <c:overlay val="0"/>
      <c:spPr>
        <a:solidFill>
          <a:schemeClr val="bg1"/>
        </a:solidFill>
        <a:ln>
          <a:noFill/>
          <a:prstDash val="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Evolution du tonnage contribuant d'emballages légers par matériaux (ktonnes)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0963824664590275E-2"/>
          <c:y val="0.20184201648762412"/>
          <c:w val="0.87434334315987916"/>
          <c:h val="0.62365667226651433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marché'!$B$17</c:f>
              <c:strCache>
                <c:ptCount val="1"/>
                <c:pt idx="0">
                  <c:v>Aluminium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2893914118358991E-2"/>
                  <c:y val="-4.191051609925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5F-414A-AEBC-FBD0D95421DF}"/>
                </c:ext>
              </c:extLst>
            </c:dLbl>
            <c:dLbl>
              <c:idx val="1"/>
              <c:layout>
                <c:manualLayout>
                  <c:x val="-2.2893914118358991E-2"/>
                  <c:y val="-3.7912382314774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5F-414A-AEBC-FBD0D95421DF}"/>
                </c:ext>
              </c:extLst>
            </c:dLbl>
            <c:dLbl>
              <c:idx val="2"/>
              <c:layout>
                <c:manualLayout>
                  <c:x val="-2.8539541881263373E-2"/>
                  <c:y val="-3.7912382314774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5F-414A-AEBC-FBD0D95421DF}"/>
                </c:ext>
              </c:extLst>
            </c:dLbl>
            <c:dLbl>
              <c:idx val="3"/>
              <c:layout>
                <c:manualLayout>
                  <c:x val="-2.0999372295724857E-2"/>
                  <c:y val="-4.5908649883739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5F-414A-AEBC-FBD0D95421DF}"/>
                </c:ext>
              </c:extLst>
            </c:dLbl>
            <c:dLbl>
              <c:idx val="4"/>
              <c:layout>
                <c:manualLayout>
                  <c:x val="-2.1008871721974423E-2"/>
                  <c:y val="-3.7912382314774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5F-414A-AEBC-FBD0D95421DF}"/>
                </c:ext>
              </c:extLst>
            </c:dLbl>
            <c:dLbl>
              <c:idx val="5"/>
              <c:layout>
                <c:manualLayout>
                  <c:x val="-1.9114329899340289E-2"/>
                  <c:y val="-3.7912382314774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5F-414A-AEBC-FBD0D95421DF}"/>
                </c:ext>
              </c:extLst>
            </c:dLbl>
            <c:dLbl>
              <c:idx val="6"/>
              <c:layout>
                <c:manualLayout>
                  <c:x val="-1.911432989934015E-2"/>
                  <c:y val="-3.7912382314774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5F-414A-AEBC-FBD0D95421DF}"/>
                </c:ext>
              </c:extLst>
            </c:dLbl>
            <c:dLbl>
              <c:idx val="7"/>
              <c:layout>
                <c:manualLayout>
                  <c:x val="-1.3459202710186309E-2"/>
                  <c:y val="-3.7912382314774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5F-414A-AEBC-FBD0D95421DF}"/>
                </c:ext>
              </c:extLst>
            </c:dLbl>
            <c:dLbl>
              <c:idx val="8"/>
              <c:layout>
                <c:manualLayout>
                  <c:x val="-7.8135749472818955E-3"/>
                  <c:y val="-3.7912382314774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5F-414A-AEBC-FBD0D95421DF}"/>
                </c:ext>
              </c:extLst>
            </c:dLbl>
            <c:dLbl>
              <c:idx val="9"/>
              <c:layout>
                <c:manualLayout>
                  <c:x val="-7.8135749472820325E-3"/>
                  <c:y val="-3.391424853029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5F-414A-AEBC-FBD0D95421DF}"/>
                </c:ext>
              </c:extLst>
            </c:dLbl>
            <c:dLbl>
              <c:idx val="10"/>
              <c:layout>
                <c:manualLayout>
                  <c:x val="-9.6986173436666712E-3"/>
                  <c:y val="-3.391424853029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5F-414A-AEBC-FBD0D95421DF}"/>
                </c:ext>
              </c:extLst>
            </c:dLbl>
            <c:dLbl>
              <c:idx val="12"/>
              <c:layout>
                <c:manualLayout>
                  <c:x val="-1.5353744532820443E-2"/>
                  <c:y val="-3.7912382314774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6C-4786-831E-7D99544201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marché'!$E$17:$Q$17</c:f>
              <c:numCache>
                <c:formatCode>#,##0</c:formatCode>
                <c:ptCount val="13"/>
                <c:pt idx="0">
                  <c:v>57.634636197741102</c:v>
                </c:pt>
                <c:pt idx="1">
                  <c:v>59.8122905522183</c:v>
                </c:pt>
                <c:pt idx="2">
                  <c:v>67.254904584578938</c:v>
                </c:pt>
                <c:pt idx="3">
                  <c:v>66.994146344423797</c:v>
                </c:pt>
                <c:pt idx="4">
                  <c:v>66.107699610403856</c:v>
                </c:pt>
                <c:pt idx="5">
                  <c:v>67.146221772580944</c:v>
                </c:pt>
                <c:pt idx="6">
                  <c:v>71.987320641933039</c:v>
                </c:pt>
                <c:pt idx="7">
                  <c:v>78.682139138768903</c:v>
                </c:pt>
                <c:pt idx="8">
                  <c:v>84.227244590057254</c:v>
                </c:pt>
                <c:pt idx="9">
                  <c:v>84.924120657783803</c:v>
                </c:pt>
                <c:pt idx="10">
                  <c:v>87.523075000000006</c:v>
                </c:pt>
                <c:pt idx="11">
                  <c:v>84.993172999999956</c:v>
                </c:pt>
                <c:pt idx="12">
                  <c:v>84.528240999999952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67-457F-A53C-22874F627610}"/>
            </c:ext>
          </c:extLst>
        </c:ser>
        <c:ser>
          <c:idx val="1"/>
          <c:order val="1"/>
          <c:tx>
            <c:strRef>
              <c:f>'Mise sur le marché'!$B$16</c:f>
              <c:strCache>
                <c:ptCount val="1"/>
                <c:pt idx="0">
                  <c:v>Acier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marché'!$E$16:$Q$16</c:f>
              <c:numCache>
                <c:formatCode>#,##0</c:formatCode>
                <c:ptCount val="13"/>
                <c:pt idx="0">
                  <c:v>285.41244100160901</c:v>
                </c:pt>
                <c:pt idx="1">
                  <c:v>281.13583722377803</c:v>
                </c:pt>
                <c:pt idx="2">
                  <c:v>286.95983995466906</c:v>
                </c:pt>
                <c:pt idx="3">
                  <c:v>313.67513580303796</c:v>
                </c:pt>
                <c:pt idx="4">
                  <c:v>299.43525774536175</c:v>
                </c:pt>
                <c:pt idx="5">
                  <c:v>278.77891526357462</c:v>
                </c:pt>
                <c:pt idx="6">
                  <c:v>274.02595785750776</c:v>
                </c:pt>
                <c:pt idx="7">
                  <c:v>254.39222331007218</c:v>
                </c:pt>
                <c:pt idx="8">
                  <c:v>252.42663279992021</c:v>
                </c:pt>
                <c:pt idx="9">
                  <c:v>255.25091234674801</c:v>
                </c:pt>
                <c:pt idx="10">
                  <c:v>256.72750100000002</c:v>
                </c:pt>
                <c:pt idx="11">
                  <c:v>268.1216179999999</c:v>
                </c:pt>
                <c:pt idx="12">
                  <c:v>254.60954799999996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7-457F-A53C-22874F627610}"/>
            </c:ext>
          </c:extLst>
        </c:ser>
        <c:ser>
          <c:idx val="2"/>
          <c:order val="2"/>
          <c:tx>
            <c:strRef>
              <c:f>'Mise sur le marché'!$B$18</c:f>
              <c:strCache>
                <c:ptCount val="1"/>
                <c:pt idx="0">
                  <c:v>Papier/Carton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marché'!$E$18:$Q$18</c:f>
              <c:numCache>
                <c:formatCode>#,##0</c:formatCode>
                <c:ptCount val="13"/>
                <c:pt idx="0">
                  <c:v>903.75209910993601</c:v>
                </c:pt>
                <c:pt idx="1">
                  <c:v>921.27938728234665</c:v>
                </c:pt>
                <c:pt idx="2">
                  <c:v>948.32392209140596</c:v>
                </c:pt>
                <c:pt idx="3">
                  <c:v>1017.3767245442259</c:v>
                </c:pt>
                <c:pt idx="4">
                  <c:v>1024.6331260001339</c:v>
                </c:pt>
                <c:pt idx="5">
                  <c:v>1047.4329692294398</c:v>
                </c:pt>
                <c:pt idx="6">
                  <c:v>1052.3337747917224</c:v>
                </c:pt>
                <c:pt idx="7">
                  <c:v>1091.8964201675351</c:v>
                </c:pt>
                <c:pt idx="8">
                  <c:v>1120.2177878160846</c:v>
                </c:pt>
                <c:pt idx="9">
                  <c:v>1136.6841911875383</c:v>
                </c:pt>
                <c:pt idx="10">
                  <c:v>1149.3596709999999</c:v>
                </c:pt>
                <c:pt idx="11">
                  <c:v>1168.2691379999999</c:v>
                </c:pt>
                <c:pt idx="12">
                  <c:v>1157.8295030000002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7-457F-A53C-22874F627610}"/>
            </c:ext>
          </c:extLst>
        </c:ser>
        <c:ser>
          <c:idx val="3"/>
          <c:order val="3"/>
          <c:tx>
            <c:strRef>
              <c:f>'Mise sur le marché'!$B$22</c:f>
              <c:strCache>
                <c:ptCount val="1"/>
                <c:pt idx="0">
                  <c:v>Plastique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marché'!$E$22:$Q$22</c:f>
              <c:numCache>
                <c:formatCode>#,##0</c:formatCode>
                <c:ptCount val="13"/>
                <c:pt idx="0">
                  <c:v>1031.837298224789</c:v>
                </c:pt>
                <c:pt idx="1">
                  <c:v>1060.7585587498932</c:v>
                </c:pt>
                <c:pt idx="2">
                  <c:v>1066.4541444084578</c:v>
                </c:pt>
                <c:pt idx="3">
                  <c:v>1080.5776774125461</c:v>
                </c:pt>
                <c:pt idx="4">
                  <c:v>1088.6322801038104</c:v>
                </c:pt>
                <c:pt idx="5">
                  <c:v>1104.5364889099308</c:v>
                </c:pt>
                <c:pt idx="6">
                  <c:v>1125.0732427571127</c:v>
                </c:pt>
                <c:pt idx="7">
                  <c:v>1147.1218005760795</c:v>
                </c:pt>
                <c:pt idx="8">
                  <c:v>1170.1908711714614</c:v>
                </c:pt>
                <c:pt idx="9">
                  <c:v>1165.352623552508</c:v>
                </c:pt>
                <c:pt idx="10">
                  <c:v>1165.4659999999999</c:v>
                </c:pt>
                <c:pt idx="11">
                  <c:v>1184.0108599999996</c:v>
                </c:pt>
                <c:pt idx="12">
                  <c:v>1187.1427020000001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67-457F-A53C-22874F6276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4773360"/>
        <c:axId val="42477218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'Mise sur le marché'!$B$32</c15:sqref>
                        </c15:formulaRef>
                      </c:ext>
                    </c:extLst>
                    <c:strCache>
                      <c:ptCount val="1"/>
                      <c:pt idx="0">
                        <c:v>Verre</c:v>
                      </c:pt>
                    </c:strCache>
                  </c:strRef>
                </c:tx>
                <c:spPr>
                  <a:ln w="317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2">
                              <a:lumMod val="50000"/>
                            </a:schemeClr>
                          </a:solidFill>
                          <a:latin typeface="Marianne Light" panose="02000000000000000000" pitchFamily="50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'Mise sur le marché'!$E$5:$Q$5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'Mise sur le marché'!$E$32:$Q$32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2393.8319206143901</c:v>
                      </c:pt>
                      <c:pt idx="1">
                        <c:v>2318.6986288797998</c:v>
                      </c:pt>
                      <c:pt idx="2">
                        <c:v>2340.9139449149948</c:v>
                      </c:pt>
                      <c:pt idx="3">
                        <c:v>2296.0544799055378</c:v>
                      </c:pt>
                      <c:pt idx="4">
                        <c:v>2217.8337300844505</c:v>
                      </c:pt>
                      <c:pt idx="5">
                        <c:v>2288.7691369610029</c:v>
                      </c:pt>
                      <c:pt idx="6">
                        <c:v>2329.8879461014176</c:v>
                      </c:pt>
                      <c:pt idx="7">
                        <c:v>2357.8613443086124</c:v>
                      </c:pt>
                      <c:pt idx="8">
                        <c:v>2401.4732655922621</c:v>
                      </c:pt>
                      <c:pt idx="9">
                        <c:v>2515.8263037172901</c:v>
                      </c:pt>
                      <c:pt idx="10">
                        <c:v>2558.8562149999998</c:v>
                      </c:pt>
                      <c:pt idx="11">
                        <c:v>2538.3372820000004</c:v>
                      </c:pt>
                      <c:pt idx="12">
                        <c:v>2560.1048920000007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B67-457F-A53C-22874F627610}"/>
                  </c:ext>
                </c:extLst>
              </c15:ser>
            </c15:filteredLineSeries>
          </c:ext>
        </c:extLst>
      </c:lineChart>
      <c:catAx>
        <c:axId val="42477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4772184"/>
        <c:crosses val="autoZero"/>
        <c:auto val="1"/>
        <c:lblAlgn val="ctr"/>
        <c:lblOffset val="100"/>
        <c:noMultiLvlLbl val="0"/>
      </c:catAx>
      <c:valAx>
        <c:axId val="42477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4773360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154077131481996E-2"/>
          <c:y val="0.91439586309634369"/>
          <c:w val="0.89442233766334001"/>
          <c:h val="8.5604136903656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2">
              <a:lumMod val="50000"/>
            </a:schemeClr>
          </a:solidFill>
          <a:latin typeface="Marianne Light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charges affectables totales et moyennes pour l'acier (M€ et 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Acier!$E$42:$Q$42</c:f>
              <c:numCache>
                <c:formatCode>#\ ##0.0</c:formatCode>
                <c:ptCount val="13"/>
                <c:pt idx="0">
                  <c:v>11.626896390000001</c:v>
                </c:pt>
                <c:pt idx="1">
                  <c:v>11.956</c:v>
                </c:pt>
                <c:pt idx="2">
                  <c:v>12</c:v>
                </c:pt>
                <c:pt idx="3">
                  <c:v>16.399999999999999</c:v>
                </c:pt>
                <c:pt idx="4">
                  <c:v>14</c:v>
                </c:pt>
                <c:pt idx="5">
                  <c:v>12.600000000000001</c:v>
                </c:pt>
                <c:pt idx="6">
                  <c:v>12.6</c:v>
                </c:pt>
                <c:pt idx="7">
                  <c:v>12.805112939999999</c:v>
                </c:pt>
                <c:pt idx="8">
                  <c:v>13.64</c:v>
                </c:pt>
                <c:pt idx="9">
                  <c:v>13.5</c:v>
                </c:pt>
                <c:pt idx="10">
                  <c:v>9.5037675605978897</c:v>
                </c:pt>
                <c:pt idx="11">
                  <c:v>9.8547403761272783</c:v>
                </c:pt>
                <c:pt idx="12">
                  <c:v>10.199576912112327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3-4DF1-889D-F9CC10C05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931824"/>
        <c:axId val="533933000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Acier!$E$43:$Q$43</c:f>
              <c:numCache>
                <c:formatCode>#\ ##0.0</c:formatCode>
                <c:ptCount val="13"/>
                <c:pt idx="0">
                  <c:v>40.737174417475565</c:v>
                </c:pt>
                <c:pt idx="1">
                  <c:v>42.52748464253343</c:v>
                </c:pt>
                <c:pt idx="2">
                  <c:v>41.817698260131579</c:v>
                </c:pt>
                <c:pt idx="3">
                  <c:v>52.283391726330017</c:v>
                </c:pt>
                <c:pt idx="4">
                  <c:v>46.754681146819152</c:v>
                </c:pt>
                <c:pt idx="5">
                  <c:v>45.197105340937249</c:v>
                </c:pt>
                <c:pt idx="6">
                  <c:v>45.981045367066798</c:v>
                </c:pt>
                <c:pt idx="7">
                  <c:v>50.33610215510469</c:v>
                </c:pt>
                <c:pt idx="8">
                  <c:v>54.035502707083261</c:v>
                </c:pt>
                <c:pt idx="9">
                  <c:v>52.88913514895021</c:v>
                </c:pt>
                <c:pt idx="10">
                  <c:v>37.018891718179773</c:v>
                </c:pt>
                <c:pt idx="11">
                  <c:v>36.754740067722857</c:v>
                </c:pt>
                <c:pt idx="12">
                  <c:v>40.059679584806176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3-4DF1-889D-F9CC10C05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57376"/>
        <c:axId val="534455808"/>
      </c:lineChart>
      <c:catAx>
        <c:axId val="53393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33000"/>
        <c:crosses val="autoZero"/>
        <c:auto val="1"/>
        <c:lblAlgn val="ctr"/>
        <c:lblOffset val="100"/>
        <c:noMultiLvlLbl val="0"/>
      </c:catAx>
      <c:valAx>
        <c:axId val="53393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31824"/>
        <c:crosses val="autoZero"/>
        <c:crossBetween val="between"/>
      </c:valAx>
      <c:valAx>
        <c:axId val="534455808"/>
        <c:scaling>
          <c:orientation val="minMax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7376"/>
        <c:crosses val="max"/>
        <c:crossBetween val="between"/>
      </c:valAx>
      <c:catAx>
        <c:axId val="53445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45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Répartition du tonnage par option de reprise - Acier 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1170958597364134E-2"/>
          <c:y val="0.16912325970861575"/>
          <c:w val="0.95765808280527176"/>
          <c:h val="0.621484737186352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Acier!$B$20</c:f>
              <c:strCache>
                <c:ptCount val="1"/>
                <c:pt idx="0">
                  <c:v>    % tonnage option filière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Acier!$K$17:$Q$17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Acier!$K$20:$Q$20</c:f>
              <c:numCache>
                <c:formatCode>0%</c:formatCode>
                <c:ptCount val="7"/>
                <c:pt idx="0">
                  <c:v>0.31</c:v>
                </c:pt>
                <c:pt idx="1">
                  <c:v>0.31</c:v>
                </c:pt>
                <c:pt idx="2">
                  <c:v>0.32</c:v>
                </c:pt>
                <c:pt idx="3">
                  <c:v>0.32</c:v>
                </c:pt>
                <c:pt idx="4">
                  <c:v>0.33</c:v>
                </c:pt>
                <c:pt idx="5">
                  <c:v>0.34899999999999998</c:v>
                </c:pt>
                <c:pt idx="6">
                  <c:v>0.372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B-47CC-A296-F32CDB263D30}"/>
            </c:ext>
          </c:extLst>
        </c:ser>
        <c:ser>
          <c:idx val="1"/>
          <c:order val="1"/>
          <c:tx>
            <c:strRef>
              <c:f>Acier!$B$21</c:f>
              <c:strCache>
                <c:ptCount val="1"/>
                <c:pt idx="0">
                  <c:v>    % tonnage option fédérations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Acier!$K$17:$Q$17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Acier!$K$21:$Q$21</c:f>
              <c:numCache>
                <c:formatCode>0%</c:formatCode>
                <c:ptCount val="7"/>
                <c:pt idx="0">
                  <c:v>0.64</c:v>
                </c:pt>
                <c:pt idx="1">
                  <c:v>0.63</c:v>
                </c:pt>
                <c:pt idx="2">
                  <c:v>0.62</c:v>
                </c:pt>
                <c:pt idx="3">
                  <c:v>0.62</c:v>
                </c:pt>
                <c:pt idx="4">
                  <c:v>0.61</c:v>
                </c:pt>
                <c:pt idx="5">
                  <c:v>0.60199999999999998</c:v>
                </c:pt>
                <c:pt idx="6">
                  <c:v>0.57299999999999995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B-47CC-A296-F32CDB263D30}"/>
            </c:ext>
          </c:extLst>
        </c:ser>
        <c:ser>
          <c:idx val="2"/>
          <c:order val="2"/>
          <c:tx>
            <c:strRef>
              <c:f>Acier!$B$22</c:f>
              <c:strCache>
                <c:ptCount val="1"/>
                <c:pt idx="0">
                  <c:v>    % tonnage option individuelle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Acier!$K$17:$Q$17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Acier!$K$22:$Q$22</c:f>
              <c:numCache>
                <c:formatCode>0%</c:formatCode>
                <c:ptCount val="7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4.9000000000000002E-2</c:v>
                </c:pt>
                <c:pt idx="6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B-47CC-A296-F32CDB26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456200"/>
        <c:axId val="534455416"/>
      </c:barChart>
      <c:catAx>
        <c:axId val="53445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5416"/>
        <c:crosses val="autoZero"/>
        <c:auto val="1"/>
        <c:lblAlgn val="ctr"/>
        <c:lblOffset val="100"/>
        <c:noMultiLvlLbl val="0"/>
      </c:catAx>
      <c:valAx>
        <c:axId val="534455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25306465184483E-2"/>
          <c:y val="0.86574800931435847"/>
          <c:w val="0.92154919421203496"/>
          <c:h val="0.11212196721387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Répartition du tonnage par option de reprise - Acier Mâchefers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1232764907240024E-2"/>
          <c:y val="0.18306630316734604"/>
          <c:w val="0.95753447018551996"/>
          <c:h val="0.61210595051646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Acier!$B$28</c:f>
              <c:strCache>
                <c:ptCount val="1"/>
                <c:pt idx="0">
                  <c:v>    % tonnage option filière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Acier!$K$4:$Q$4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Acier!$K$28:$Q$28</c:f>
              <c:numCache>
                <c:formatCode>0%</c:formatCode>
                <c:ptCount val="7"/>
                <c:pt idx="0">
                  <c:v>0.05</c:v>
                </c:pt>
                <c:pt idx="1">
                  <c:v>0.03</c:v>
                </c:pt>
                <c:pt idx="2">
                  <c:v>0.04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6-488C-A6C4-8379354299D0}"/>
            </c:ext>
          </c:extLst>
        </c:ser>
        <c:ser>
          <c:idx val="1"/>
          <c:order val="1"/>
          <c:tx>
            <c:strRef>
              <c:f>Acier!$B$29</c:f>
              <c:strCache>
                <c:ptCount val="1"/>
                <c:pt idx="0">
                  <c:v>    % tonnage option fédérations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Acier!$K$29:$Q$29</c:f>
              <c:numCache>
                <c:formatCode>0%</c:formatCode>
                <c:ptCount val="7"/>
                <c:pt idx="0">
                  <c:v>0.36</c:v>
                </c:pt>
                <c:pt idx="1">
                  <c:v>0.36</c:v>
                </c:pt>
                <c:pt idx="2">
                  <c:v>0.3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6-488C-A6C4-8379354299D0}"/>
            </c:ext>
          </c:extLst>
        </c:ser>
        <c:ser>
          <c:idx val="2"/>
          <c:order val="2"/>
          <c:tx>
            <c:strRef>
              <c:f>Acier!$B$30</c:f>
              <c:strCache>
                <c:ptCount val="1"/>
                <c:pt idx="0">
                  <c:v>    % tonnage option individuelle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Acier!$K$30:$Q$30</c:f>
              <c:numCache>
                <c:formatCode>0%</c:formatCode>
                <c:ptCount val="7"/>
                <c:pt idx="0">
                  <c:v>0.59</c:v>
                </c:pt>
                <c:pt idx="1">
                  <c:v>0.61</c:v>
                </c:pt>
                <c:pt idx="2">
                  <c:v>0.66</c:v>
                </c:pt>
                <c:pt idx="3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56-488C-A6C4-837935429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449928"/>
        <c:axId val="534456984"/>
      </c:barChart>
      <c:catAx>
        <c:axId val="53444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6984"/>
        <c:crosses val="autoZero"/>
        <c:auto val="1"/>
        <c:lblAlgn val="ctr"/>
        <c:lblOffset val="100"/>
        <c:noMultiLvlLbl val="0"/>
      </c:catAx>
      <c:valAx>
        <c:axId val="534456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4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25306465184483E-2"/>
          <c:y val="0.86574800931435847"/>
          <c:w val="0.92154919421203496"/>
          <c:h val="0.11212196721387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% des tonnages recyclés selon la destination - Acier Mâchefers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1228767243814596E-2"/>
          <c:y val="0.20418224830832843"/>
          <c:w val="0.95754246551237077"/>
          <c:h val="0.630245786345757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Acier!$B$31</c:f>
              <c:strCache>
                <c:ptCount val="1"/>
                <c:pt idx="0">
                  <c:v>% tonnage recyclé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Acier!$K$31:$Q$31</c:f>
              <c:numCache>
                <c:formatCode>0%</c:formatCode>
                <c:ptCount val="7"/>
                <c:pt idx="0">
                  <c:v>0.94</c:v>
                </c:pt>
                <c:pt idx="1">
                  <c:v>0.92999999999999994</c:v>
                </c:pt>
                <c:pt idx="2">
                  <c:v>0.92</c:v>
                </c:pt>
                <c:pt idx="3">
                  <c:v>0.78</c:v>
                </c:pt>
                <c:pt idx="4">
                  <c:v>0.86</c:v>
                </c:pt>
                <c:pt idx="5">
                  <c:v>0.72299999999999998</c:v>
                </c:pt>
                <c:pt idx="6">
                  <c:v>0.82599999999999996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7-4602-9CE7-8F66A2BD1584}"/>
            </c:ext>
          </c:extLst>
        </c:ser>
        <c:ser>
          <c:idx val="0"/>
          <c:order val="1"/>
          <c:tx>
            <c:strRef>
              <c:f>Acier!$B$32</c:f>
              <c:strCache>
                <c:ptCount val="1"/>
                <c:pt idx="0">
                  <c:v>% tonnage recyclé export Europe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Acier!$K$32:$Q$32</c:f>
              <c:numCache>
                <c:formatCode>0%</c:formatCode>
                <c:ptCount val="7"/>
                <c:pt idx="0">
                  <c:v>0.06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0.22</c:v>
                </c:pt>
                <c:pt idx="4">
                  <c:v>0.14000000000000001</c:v>
                </c:pt>
                <c:pt idx="5">
                  <c:v>0.27700000000000002</c:v>
                </c:pt>
                <c:pt idx="6">
                  <c:v>0.17399999999999999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4-4866-A3B3-63674F60F8D7}"/>
            </c:ext>
          </c:extLst>
        </c:ser>
        <c:ser>
          <c:idx val="1"/>
          <c:order val="2"/>
          <c:tx>
            <c:strRef>
              <c:f>Acier!$B$33</c:f>
              <c:strCache>
                <c:ptCount val="1"/>
                <c:pt idx="0">
                  <c:v>% tonnage recyclé export hors Europe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8909657158782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C0-4200-A069-53C0287F8705}"/>
                </c:ext>
              </c:extLst>
            </c:dLbl>
            <c:dLbl>
              <c:idx val="1"/>
              <c:layout>
                <c:manualLayout>
                  <c:x val="-1.8994900542252061E-3"/>
                  <c:y val="-2.477970613609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C0-4200-A069-53C0287F8705}"/>
                </c:ext>
              </c:extLst>
            </c:dLbl>
            <c:dLbl>
              <c:idx val="2"/>
              <c:layout>
                <c:manualLayout>
                  <c:x val="1.8994900542252061E-3"/>
                  <c:y val="-2.477970613609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C0-4200-A069-53C0287F8705}"/>
                </c:ext>
              </c:extLst>
            </c:dLbl>
            <c:dLbl>
              <c:idx val="3"/>
              <c:layout>
                <c:manualLayout>
                  <c:x val="-1.3929432816988298E-16"/>
                  <c:y val="-2.0649755113415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C0-4200-A069-53C0287F8705}"/>
                </c:ext>
              </c:extLst>
            </c:dLbl>
            <c:dLbl>
              <c:idx val="4"/>
              <c:layout>
                <c:manualLayout>
                  <c:x val="-1.3929432816988298E-16"/>
                  <c:y val="-2.8909657158782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C0-4200-A069-53C0287F87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Acier!$K$33:$Q$33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4-4866-A3B3-63674F60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4451104"/>
        <c:axId val="534452280"/>
      </c:barChart>
      <c:catAx>
        <c:axId val="5344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2280"/>
        <c:crosses val="autoZero"/>
        <c:auto val="1"/>
        <c:lblAlgn val="ctr"/>
        <c:lblOffset val="100"/>
        <c:noMultiLvlLbl val="0"/>
      </c:catAx>
      <c:valAx>
        <c:axId val="53445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224033851753913E-2"/>
          <c:y val="0.89579112944295924"/>
          <c:w val="0.97541155619932429"/>
          <c:h val="8.1568074219026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% des tonnages recyclés selon la destination - Acier 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1081793283434222E-2"/>
          <c:y val="0.14889145865532313"/>
          <c:w val="0.95783641343313153"/>
          <c:h val="0.6788199393485905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Acier!$B$23</c:f>
              <c:strCache>
                <c:ptCount val="1"/>
                <c:pt idx="0">
                  <c:v>% tonnage recyclé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Acier!$K$17:$Q$17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Acier!$K$23:$Q$23</c:f>
              <c:numCache>
                <c:formatCode>0%</c:formatCode>
                <c:ptCount val="7"/>
                <c:pt idx="0">
                  <c:v>0.6</c:v>
                </c:pt>
                <c:pt idx="1">
                  <c:v>0.66999999999999993</c:v>
                </c:pt>
                <c:pt idx="2">
                  <c:v>0.62</c:v>
                </c:pt>
                <c:pt idx="3">
                  <c:v>0.64</c:v>
                </c:pt>
                <c:pt idx="4">
                  <c:v>0.59000000000000008</c:v>
                </c:pt>
                <c:pt idx="5">
                  <c:v>0.58099999999999996</c:v>
                </c:pt>
                <c:pt idx="6">
                  <c:v>0.47099999999999997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8-4B6B-9B43-53457D5D6E6C}"/>
            </c:ext>
          </c:extLst>
        </c:ser>
        <c:ser>
          <c:idx val="0"/>
          <c:order val="1"/>
          <c:tx>
            <c:strRef>
              <c:f>Acier!$B$24</c:f>
              <c:strCache>
                <c:ptCount val="1"/>
                <c:pt idx="0">
                  <c:v>% tonnage recyclé export Europe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Acier!$K$17:$Q$17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Acier!$K$24:$Q$24</c:f>
              <c:numCache>
                <c:formatCode>0%</c:formatCode>
                <c:ptCount val="7"/>
                <c:pt idx="0">
                  <c:v>0.4</c:v>
                </c:pt>
                <c:pt idx="1">
                  <c:v>0.33</c:v>
                </c:pt>
                <c:pt idx="2">
                  <c:v>0.38</c:v>
                </c:pt>
                <c:pt idx="3">
                  <c:v>0.36</c:v>
                </c:pt>
                <c:pt idx="4">
                  <c:v>0.41</c:v>
                </c:pt>
                <c:pt idx="5">
                  <c:v>0.41899999999999998</c:v>
                </c:pt>
                <c:pt idx="6">
                  <c:v>0.52900000000000003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D-4342-9AEE-2A8BA888D78E}"/>
            </c:ext>
          </c:extLst>
        </c:ser>
        <c:ser>
          <c:idx val="1"/>
          <c:order val="2"/>
          <c:tx>
            <c:strRef>
              <c:f>Acier!$B$25</c:f>
              <c:strCache>
                <c:ptCount val="1"/>
                <c:pt idx="0">
                  <c:v>% tonnage recyclé export hors Europe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Acier!$K$17:$Q$17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Acier!$K$25:$Q$25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D-4342-9AEE-2A8BA888D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4453064"/>
        <c:axId val="534450712"/>
      </c:barChart>
      <c:catAx>
        <c:axId val="53445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0712"/>
        <c:crosses val="autoZero"/>
        <c:auto val="1"/>
        <c:lblAlgn val="ctr"/>
        <c:lblOffset val="100"/>
        <c:noMultiLvlLbl val="0"/>
      </c:catAx>
      <c:valAx>
        <c:axId val="53445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045924204237718E-3"/>
          <c:y val="0.885016697329851"/>
          <c:w val="0.98207413758941087"/>
          <c:h val="9.0874604713851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tonnages contribuants et recyclage matière et du taux de recyclage d'aluminium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Aluminium!$B$7</c:f>
              <c:strCache>
                <c:ptCount val="1"/>
                <c:pt idx="0">
                  <c:v>Tonnage contribuant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Aluminium!$E$7:$Q$7</c:f>
              <c:numCache>
                <c:formatCode>0</c:formatCode>
                <c:ptCount val="13"/>
                <c:pt idx="0">
                  <c:v>57.634636197741102</c:v>
                </c:pt>
                <c:pt idx="1">
                  <c:v>59.8122905522183</c:v>
                </c:pt>
                <c:pt idx="2">
                  <c:v>67.254904584578938</c:v>
                </c:pt>
                <c:pt idx="3">
                  <c:v>66.994146344423797</c:v>
                </c:pt>
                <c:pt idx="4">
                  <c:v>66.107699610403856</c:v>
                </c:pt>
                <c:pt idx="5">
                  <c:v>67.146221772580944</c:v>
                </c:pt>
                <c:pt idx="6">
                  <c:v>71.987320641933039</c:v>
                </c:pt>
                <c:pt idx="7">
                  <c:v>78.682139138768903</c:v>
                </c:pt>
                <c:pt idx="8">
                  <c:v>84.227244590057254</c:v>
                </c:pt>
                <c:pt idx="9">
                  <c:v>84.924120657783803</c:v>
                </c:pt>
                <c:pt idx="10">
                  <c:v>87.523075000000006</c:v>
                </c:pt>
                <c:pt idx="11">
                  <c:v>84.993172999999956</c:v>
                </c:pt>
                <c:pt idx="12">
                  <c:v>84.528240999999952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B-41E4-9C38-97B806AF4B05}"/>
            </c:ext>
          </c:extLst>
        </c:ser>
        <c:ser>
          <c:idx val="1"/>
          <c:order val="1"/>
          <c:tx>
            <c:strRef>
              <c:f>Aluminium!$B$8</c:f>
              <c:strCache>
                <c:ptCount val="1"/>
                <c:pt idx="0">
                  <c:v>Tonnage recyclé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Aluminium!$F$8:$Q$8</c:f>
              <c:numCache>
                <c:formatCode>#,##0</c:formatCode>
                <c:ptCount val="12"/>
                <c:pt idx="0">
                  <c:v>19.943711999999991</c:v>
                </c:pt>
                <c:pt idx="1">
                  <c:v>21.379994999999987</c:v>
                </c:pt>
                <c:pt idx="2">
                  <c:v>23.525342999999992</c:v>
                </c:pt>
                <c:pt idx="3">
                  <c:v>23.747965000000001</c:v>
                </c:pt>
                <c:pt idx="4">
                  <c:v>25.853874999999977</c:v>
                </c:pt>
                <c:pt idx="5">
                  <c:v>28.208913999999975</c:v>
                </c:pt>
                <c:pt idx="6">
                  <c:v>32.421625999999968</c:v>
                </c:pt>
                <c:pt idx="7">
                  <c:v>37.245103279999952</c:v>
                </c:pt>
                <c:pt idx="8">
                  <c:v>37.801976499999981</c:v>
                </c:pt>
                <c:pt idx="9">
                  <c:v>40.795249999999996</c:v>
                </c:pt>
                <c:pt idx="10">
                  <c:v>47.324883</c:v>
                </c:pt>
                <c:pt idx="11">
                  <c:v>49.039928421052629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B-41E4-9C38-97B806AF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925552"/>
        <c:axId val="533929864"/>
      </c:barChart>
      <c:lineChart>
        <c:grouping val="standard"/>
        <c:varyColors val="0"/>
        <c:ser>
          <c:idx val="2"/>
          <c:order val="2"/>
          <c:tx>
            <c:strRef>
              <c:f>Aluminium!$B$14</c:f>
              <c:strCache>
                <c:ptCount val="1"/>
                <c:pt idx="0">
                  <c:v>Taux de recyclage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78288562366314E-2"/>
                  <c:y val="-5.8069609735650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D2-4752-938A-788CF4AF1069}"/>
                </c:ext>
              </c:extLst>
            </c:dLbl>
            <c:dLbl>
              <c:idx val="1"/>
              <c:layout>
                <c:manualLayout>
                  <c:x val="-1.178288562366314E-2"/>
                  <c:y val="-5.806960973565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D2-4752-938A-788CF4AF1069}"/>
                </c:ext>
              </c:extLst>
            </c:dLbl>
            <c:dLbl>
              <c:idx val="2"/>
              <c:layout>
                <c:manualLayout>
                  <c:x val="-1.1782885623663173E-2"/>
                  <c:y val="-5.8069609735650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D2-4752-938A-788CF4AF1069}"/>
                </c:ext>
              </c:extLst>
            </c:dLbl>
            <c:dLbl>
              <c:idx val="3"/>
              <c:layout>
                <c:manualLayout>
                  <c:x val="-1.3570880407223556E-2"/>
                  <c:y val="-5.806960973565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D2-4752-938A-788CF4AF1069}"/>
                </c:ext>
              </c:extLst>
            </c:dLbl>
            <c:dLbl>
              <c:idx val="4"/>
              <c:layout>
                <c:manualLayout>
                  <c:x val="-1.5358875190783971E-2"/>
                  <c:y val="-6.2376639214723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D2-4752-938A-788CF4AF1069}"/>
                </c:ext>
              </c:extLst>
            </c:dLbl>
            <c:dLbl>
              <c:idx val="5"/>
              <c:layout>
                <c:manualLayout>
                  <c:x val="-1.5358875190783971E-2"/>
                  <c:y val="-6.2376639214723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D2-4752-938A-788CF4AF1069}"/>
                </c:ext>
              </c:extLst>
            </c:dLbl>
            <c:dLbl>
              <c:idx val="6"/>
              <c:layout>
                <c:manualLayout>
                  <c:x val="-1.178288562366314E-2"/>
                  <c:y val="-5.8069609735650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D2-4752-938A-788CF4AF1069}"/>
                </c:ext>
              </c:extLst>
            </c:dLbl>
            <c:dLbl>
              <c:idx val="7"/>
              <c:layout>
                <c:manualLayout>
                  <c:x val="-1.0674328857855683E-2"/>
                  <c:y val="-6.2376639214723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D2-4752-938A-788CF4AF1069}"/>
                </c:ext>
              </c:extLst>
            </c:dLbl>
            <c:dLbl>
              <c:idx val="8"/>
              <c:layout>
                <c:manualLayout>
                  <c:x val="-1.178288562366314E-2"/>
                  <c:y val="-5.806960973565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D2-4752-938A-788CF4AF1069}"/>
                </c:ext>
              </c:extLst>
            </c:dLbl>
            <c:dLbl>
              <c:idx val="9"/>
              <c:layout>
                <c:manualLayout>
                  <c:x val="-1.178288562366314E-2"/>
                  <c:y val="-6.6683668693796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D2-4752-938A-788CF4AF1069}"/>
                </c:ext>
              </c:extLst>
            </c:dLbl>
            <c:dLbl>
              <c:idx val="10"/>
              <c:layout>
                <c:manualLayout>
                  <c:x val="-1.1774016043240753E-2"/>
                  <c:y val="-7.9604757131016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D2-4752-938A-788CF4AF1069}"/>
                </c:ext>
              </c:extLst>
            </c:dLbl>
            <c:dLbl>
              <c:idx val="12"/>
              <c:layout>
                <c:manualLayout>
                  <c:x val="-1.178288562366327E-2"/>
                  <c:y val="-5.8007150109270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F2-4FA8-89B8-456C530AEC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Aluminium!$E$14:$Q$14</c:f>
              <c:numCache>
                <c:formatCode>0%</c:formatCode>
                <c:ptCount val="13"/>
                <c:pt idx="0">
                  <c:v>0.35074618898682819</c:v>
                </c:pt>
                <c:pt idx="1">
                  <c:v>0.33343835883677464</c:v>
                </c:pt>
                <c:pt idx="2">
                  <c:v>0.3178949569858176</c:v>
                </c:pt>
                <c:pt idx="3">
                  <c:v>0.35115520211353668</c:v>
                </c:pt>
                <c:pt idx="4">
                  <c:v>0.3592314532188412</c:v>
                </c:pt>
                <c:pt idx="5">
                  <c:v>0.38503841791076571</c:v>
                </c:pt>
                <c:pt idx="6">
                  <c:v>0.39185947953684663</c:v>
                </c:pt>
                <c:pt idx="7">
                  <c:v>0.41205826830431103</c:v>
                </c:pt>
                <c:pt idx="8">
                  <c:v>0.44219781213639053</c:v>
                </c:pt>
                <c:pt idx="9">
                  <c:v>0.44512649889340011</c:v>
                </c:pt>
                <c:pt idx="10">
                  <c:v>0.46610850909888613</c:v>
                </c:pt>
                <c:pt idx="11">
                  <c:v>0.55680805092427865</c:v>
                </c:pt>
                <c:pt idx="12">
                  <c:v>0.58016028537790887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6B-41E4-9C38-97B806AF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27512"/>
        <c:axId val="533925944"/>
      </c:lineChart>
      <c:catAx>
        <c:axId val="53392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9864"/>
        <c:crosses val="autoZero"/>
        <c:auto val="1"/>
        <c:lblAlgn val="ctr"/>
        <c:lblOffset val="100"/>
        <c:noMultiLvlLbl val="0"/>
      </c:catAx>
      <c:valAx>
        <c:axId val="53392986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5552"/>
        <c:crosses val="autoZero"/>
        <c:crossBetween val="between"/>
        <c:majorUnit val="30"/>
      </c:valAx>
      <c:valAx>
        <c:axId val="533925944"/>
        <c:scaling>
          <c:orientation val="minMax"/>
          <c:max val="1.3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7512"/>
        <c:crosses val="max"/>
        <c:crossBetween val="between"/>
        <c:majorUnit val="0.4"/>
      </c:valAx>
      <c:catAx>
        <c:axId val="53392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925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éco-contributions totales et moyennes pour l'aluminium (M€ et 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Aluminium!$E$40:$Q$40</c:f>
              <c:numCache>
                <c:formatCode>#\ ##0.0</c:formatCode>
                <c:ptCount val="13"/>
                <c:pt idx="0">
                  <c:v>4.7134119047899992</c:v>
                </c:pt>
                <c:pt idx="1">
                  <c:v>6</c:v>
                </c:pt>
                <c:pt idx="2">
                  <c:v>6</c:v>
                </c:pt>
                <c:pt idx="3">
                  <c:v>16</c:v>
                </c:pt>
                <c:pt idx="4">
                  <c:v>18</c:v>
                </c:pt>
                <c:pt idx="5">
                  <c:v>21.199683504893468</c:v>
                </c:pt>
                <c:pt idx="6">
                  <c:v>20</c:v>
                </c:pt>
                <c:pt idx="7">
                  <c:v>20</c:v>
                </c:pt>
                <c:pt idx="8">
                  <c:v>7.6599639992197845</c:v>
                </c:pt>
                <c:pt idx="9">
                  <c:v>8.1485218277822717</c:v>
                </c:pt>
                <c:pt idx="10">
                  <c:v>9.0923683623235103</c:v>
                </c:pt>
                <c:pt idx="11">
                  <c:v>9.4757962293689335</c:v>
                </c:pt>
                <c:pt idx="12">
                  <c:v>9.7368464507999999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3-4633-AD25-B3F287EDC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926336"/>
        <c:axId val="533926728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Aluminium!$E$41:$Q$41</c:f>
              <c:numCache>
                <c:formatCode>#,##0</c:formatCode>
                <c:ptCount val="13"/>
                <c:pt idx="0">
                  <c:v>81.780891070753981</c:v>
                </c:pt>
                <c:pt idx="1">
                  <c:v>100.31383089670813</c:v>
                </c:pt>
                <c:pt idx="2">
                  <c:v>89.21282450790595</c:v>
                </c:pt>
                <c:pt idx="3">
                  <c:v>238.82683597074816</c:v>
                </c:pt>
                <c:pt idx="4">
                  <c:v>272.28295805300121</c:v>
                </c:pt>
                <c:pt idx="5">
                  <c:v>315.72414568157171</c:v>
                </c:pt>
                <c:pt idx="6">
                  <c:v>277.82670367022774</c:v>
                </c:pt>
                <c:pt idx="7">
                  <c:v>254.18729357023085</c:v>
                </c:pt>
                <c:pt idx="8">
                  <c:v>90.944017419798371</c:v>
                </c:pt>
                <c:pt idx="9">
                  <c:v>95.95061761802782</c:v>
                </c:pt>
                <c:pt idx="10">
                  <c:v>103.88538522353689</c:v>
                </c:pt>
                <c:pt idx="11">
                  <c:v>111.4889101665723</c:v>
                </c:pt>
                <c:pt idx="12">
                  <c:v>115.19045393124891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3-4633-AD25-B3F287EDC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29080"/>
        <c:axId val="533928688"/>
      </c:lineChart>
      <c:catAx>
        <c:axId val="5339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6728"/>
        <c:crosses val="autoZero"/>
        <c:auto val="1"/>
        <c:lblAlgn val="ctr"/>
        <c:lblOffset val="100"/>
        <c:noMultiLvlLbl val="0"/>
      </c:catAx>
      <c:valAx>
        <c:axId val="53392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6336"/>
        <c:crosses val="autoZero"/>
        <c:crossBetween val="between"/>
      </c:valAx>
      <c:valAx>
        <c:axId val="53392868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29080"/>
        <c:crosses val="max"/>
        <c:crossBetween val="between"/>
      </c:valAx>
      <c:catAx>
        <c:axId val="533929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928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 sz="1400" b="0"/>
              <a:t>Prix de reprise par standard - Aluminium (€/t)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286523487261326E-2"/>
          <c:y val="0.16351589384660253"/>
          <c:w val="0.90153252722154043"/>
          <c:h val="0.65707538448215741"/>
        </c:manualLayout>
      </c:layout>
      <c:lineChart>
        <c:grouping val="standard"/>
        <c:varyColors val="0"/>
        <c:ser>
          <c:idx val="0"/>
          <c:order val="0"/>
          <c:tx>
            <c:strRef>
              <c:f>Aluminium!$B$44</c:f>
              <c:strCache>
                <c:ptCount val="1"/>
                <c:pt idx="0">
                  <c:v>Prix de reprise CS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5400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Aluminium!$E$4:$Q$4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Aluminium!$E$44:$Q$44</c:f>
              <c:numCache>
                <c:formatCode>#,##0</c:formatCode>
                <c:ptCount val="13"/>
                <c:pt idx="0">
                  <c:v>249</c:v>
                </c:pt>
                <c:pt idx="1">
                  <c:v>458</c:v>
                </c:pt>
                <c:pt idx="2">
                  <c:v>499</c:v>
                </c:pt>
                <c:pt idx="3">
                  <c:v>482</c:v>
                </c:pt>
                <c:pt idx="4">
                  <c:v>447</c:v>
                </c:pt>
                <c:pt idx="5">
                  <c:v>467.5</c:v>
                </c:pt>
                <c:pt idx="6">
                  <c:v>469.2</c:v>
                </c:pt>
                <c:pt idx="7">
                  <c:v>424.1</c:v>
                </c:pt>
                <c:pt idx="8">
                  <c:v>477.6</c:v>
                </c:pt>
                <c:pt idx="9">
                  <c:v>513.20000000000005</c:v>
                </c:pt>
                <c:pt idx="10">
                  <c:v>455</c:v>
                </c:pt>
                <c:pt idx="11">
                  <c:v>358.1</c:v>
                </c:pt>
                <c:pt idx="12">
                  <c:v>605.26626709851894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D-4A63-8BE2-EDD903B176B5}"/>
            </c:ext>
          </c:extLst>
        </c:ser>
        <c:ser>
          <c:idx val="1"/>
          <c:order val="1"/>
          <c:tx>
            <c:strRef>
              <c:f>Aluminium!$B$45</c:f>
              <c:strCache>
                <c:ptCount val="1"/>
                <c:pt idx="0">
                  <c:v>Prix de reprise mâchefers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5400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Aluminium!$E$4:$Q$4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Aluminium!$E$45:$Q$45</c:f>
              <c:numCache>
                <c:formatCode>#,##0</c:formatCode>
                <c:ptCount val="13"/>
                <c:pt idx="0">
                  <c:v>341</c:v>
                </c:pt>
                <c:pt idx="1">
                  <c:v>575</c:v>
                </c:pt>
                <c:pt idx="2">
                  <c:v>665</c:v>
                </c:pt>
                <c:pt idx="3">
                  <c:v>666</c:v>
                </c:pt>
                <c:pt idx="4">
                  <c:v>612</c:v>
                </c:pt>
                <c:pt idx="5">
                  <c:v>637</c:v>
                </c:pt>
                <c:pt idx="6">
                  <c:v>589.5</c:v>
                </c:pt>
                <c:pt idx="7">
                  <c:v>526.43280000000004</c:v>
                </c:pt>
                <c:pt idx="8">
                  <c:v>596.29999999999995</c:v>
                </c:pt>
                <c:pt idx="9">
                  <c:v>635</c:v>
                </c:pt>
                <c:pt idx="10">
                  <c:v>485.4</c:v>
                </c:pt>
                <c:pt idx="11">
                  <c:v>230.7</c:v>
                </c:pt>
                <c:pt idx="12">
                  <c:v>650.20000000000005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D-4A63-8BE2-EDD903B176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3930648"/>
        <c:axId val="533931432"/>
      </c:lineChart>
      <c:catAx>
        <c:axId val="53393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31432"/>
        <c:crosses val="autoZero"/>
        <c:auto val="1"/>
        <c:lblAlgn val="ctr"/>
        <c:lblOffset val="100"/>
        <c:noMultiLvlLbl val="0"/>
      </c:catAx>
      <c:valAx>
        <c:axId val="53393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30648"/>
        <c:crosses val="autoZero"/>
        <c:crossBetween val="between"/>
        <c:majorUnit val="21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08070473095934"/>
          <c:y val="0.91362462932666766"/>
          <c:w val="0.71991841781547172"/>
          <c:h val="7.1354846345894021E-2"/>
        </c:manualLayout>
      </c:layout>
      <c:overlay val="0"/>
      <c:spPr>
        <a:solidFill>
          <a:schemeClr val="bg1"/>
        </a:solidFill>
        <a:ln>
          <a:noFill/>
          <a:prstDash val="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charges affectables totales et moyennes pour l'aluminium (M€ et 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Aluminium!$E$42:$Q$42</c:f>
              <c:numCache>
                <c:formatCode>#\ ##0.0</c:formatCode>
                <c:ptCount val="13"/>
                <c:pt idx="0">
                  <c:v>2.9930000000000003</c:v>
                </c:pt>
                <c:pt idx="1">
                  <c:v>3.5999999999999996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5.03</c:v>
                </c:pt>
                <c:pt idx="7">
                  <c:v>6.2213754899999998</c:v>
                </c:pt>
                <c:pt idx="8">
                  <c:v>6.8</c:v>
                </c:pt>
                <c:pt idx="9">
                  <c:v>8.4</c:v>
                </c:pt>
                <c:pt idx="10">
                  <c:v>7.0638034300789299</c:v>
                </c:pt>
                <c:pt idx="11">
                  <c:v>7.7052466599618388</c:v>
                </c:pt>
                <c:pt idx="12">
                  <c:v>8.9633870068895742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F-473A-B515-C30165AF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931824"/>
        <c:axId val="533933000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Aluminium!$E$43:$Q$43</c:f>
              <c:numCache>
                <c:formatCode>#\ ##0.0</c:formatCode>
                <c:ptCount val="13"/>
                <c:pt idx="0">
                  <c:v>148.05742768200994</c:v>
                </c:pt>
                <c:pt idx="1">
                  <c:v>180.50802177648782</c:v>
                </c:pt>
                <c:pt idx="2">
                  <c:v>187.09078276211022</c:v>
                </c:pt>
                <c:pt idx="3">
                  <c:v>170.0294019092517</c:v>
                </c:pt>
                <c:pt idx="4">
                  <c:v>168.43548489312661</c:v>
                </c:pt>
                <c:pt idx="5">
                  <c:v>154.71568575310292</c:v>
                </c:pt>
                <c:pt idx="6">
                  <c:v>178.31242989361465</c:v>
                </c:pt>
                <c:pt idx="7">
                  <c:v>191.88968159709219</c:v>
                </c:pt>
                <c:pt idx="8">
                  <c:v>182.57433598395994</c:v>
                </c:pt>
                <c:pt idx="9">
                  <c:v>222.21060319425374</c:v>
                </c:pt>
                <c:pt idx="10">
                  <c:v>173.1525957085428</c:v>
                </c:pt>
                <c:pt idx="11">
                  <c:v>162.81596850354259</c:v>
                </c:pt>
                <c:pt idx="12">
                  <c:v>182.77732646611349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F-473A-B515-C30165AF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57376"/>
        <c:axId val="534455808"/>
      </c:lineChart>
      <c:catAx>
        <c:axId val="53393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33000"/>
        <c:crosses val="autoZero"/>
        <c:auto val="1"/>
        <c:lblAlgn val="ctr"/>
        <c:lblOffset val="100"/>
        <c:noMultiLvlLbl val="0"/>
      </c:catAx>
      <c:valAx>
        <c:axId val="53393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3931824"/>
        <c:crosses val="autoZero"/>
        <c:crossBetween val="between"/>
      </c:valAx>
      <c:valAx>
        <c:axId val="534455808"/>
        <c:scaling>
          <c:orientation val="minMax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7376"/>
        <c:crosses val="max"/>
        <c:crossBetween val="between"/>
      </c:valAx>
      <c:catAx>
        <c:axId val="53445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45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Répartition du tonnage par option de reprise - Aluminium 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Aluminium!$B$20</c:f>
              <c:strCache>
                <c:ptCount val="1"/>
                <c:pt idx="0">
                  <c:v>    % tonnage option filière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Aluminium!$K$17:$Q$17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Aluminium!$K$20:$Q$20</c:f>
              <c:numCache>
                <c:formatCode>0%</c:formatCode>
                <c:ptCount val="7"/>
                <c:pt idx="0">
                  <c:v>0.34</c:v>
                </c:pt>
                <c:pt idx="1">
                  <c:v>0.35</c:v>
                </c:pt>
                <c:pt idx="2">
                  <c:v>0.31</c:v>
                </c:pt>
                <c:pt idx="3">
                  <c:v>0.31</c:v>
                </c:pt>
                <c:pt idx="4">
                  <c:v>0.31</c:v>
                </c:pt>
                <c:pt idx="5">
                  <c:v>0.33900000000000002</c:v>
                </c:pt>
                <c:pt idx="6">
                  <c:v>0.36399999999999999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E-4B2A-9EB0-8541F6EE6CE0}"/>
            </c:ext>
          </c:extLst>
        </c:ser>
        <c:ser>
          <c:idx val="1"/>
          <c:order val="1"/>
          <c:tx>
            <c:strRef>
              <c:f>Aluminium!$B$21</c:f>
              <c:strCache>
                <c:ptCount val="1"/>
                <c:pt idx="0">
                  <c:v>    % tonnage option fédérations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Aluminium!$K$17:$Q$17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Aluminium!$K$21:$Q$21</c:f>
              <c:numCache>
                <c:formatCode>0%</c:formatCode>
                <c:ptCount val="7"/>
                <c:pt idx="0">
                  <c:v>0.63</c:v>
                </c:pt>
                <c:pt idx="1">
                  <c:v>0.59</c:v>
                </c:pt>
                <c:pt idx="2">
                  <c:v>0.61</c:v>
                </c:pt>
                <c:pt idx="3">
                  <c:v>0.62</c:v>
                </c:pt>
                <c:pt idx="4">
                  <c:v>0.59</c:v>
                </c:pt>
                <c:pt idx="5">
                  <c:v>0.58399999999999996</c:v>
                </c:pt>
                <c:pt idx="6">
                  <c:v>0.55899999999999994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E-4B2A-9EB0-8541F6EE6CE0}"/>
            </c:ext>
          </c:extLst>
        </c:ser>
        <c:ser>
          <c:idx val="2"/>
          <c:order val="2"/>
          <c:tx>
            <c:strRef>
              <c:f>Aluminium!$B$22</c:f>
              <c:strCache>
                <c:ptCount val="1"/>
                <c:pt idx="0">
                  <c:v>    % tonnage option individuelle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Aluminium!$K$17:$Q$17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Aluminium!$K$22:$Q$22</c:f>
              <c:numCache>
                <c:formatCode>0%</c:formatCode>
                <c:ptCount val="7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0.1</c:v>
                </c:pt>
                <c:pt idx="5">
                  <c:v>7.8E-2</c:v>
                </c:pt>
                <c:pt idx="6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E-4B2A-9EB0-8541F6EE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456200"/>
        <c:axId val="534455416"/>
      </c:barChart>
      <c:catAx>
        <c:axId val="53445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5416"/>
        <c:crosses val="autoZero"/>
        <c:auto val="1"/>
        <c:lblAlgn val="ctr"/>
        <c:lblOffset val="100"/>
        <c:noMultiLvlLbl val="0"/>
      </c:catAx>
      <c:valAx>
        <c:axId val="534455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25306465184483E-2"/>
          <c:y val="0.86574800931435847"/>
          <c:w val="0.92154919421203496"/>
          <c:h val="0.11212196721387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Evolution du tonnage contribuant d'emballages en verre (ktonnes)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0479363312829894E-2"/>
          <c:y val="0.22976300971474536"/>
          <c:w val="0.86482791418277694"/>
          <c:h val="0.55098719297262333"/>
        </c:manualLayout>
      </c:layout>
      <c:lineChart>
        <c:grouping val="standard"/>
        <c:varyColors val="0"/>
        <c:ser>
          <c:idx val="4"/>
          <c:order val="4"/>
          <c:tx>
            <c:strRef>
              <c:f>'Mise sur le marché'!$B$32</c:f>
              <c:strCache>
                <c:ptCount val="1"/>
                <c:pt idx="0">
                  <c:v>Verre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chemeClr val="accent5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marché'!$E$32:$Q$32</c:f>
              <c:numCache>
                <c:formatCode>#,##0</c:formatCode>
                <c:ptCount val="13"/>
                <c:pt idx="0">
                  <c:v>2393.8319206143901</c:v>
                </c:pt>
                <c:pt idx="1">
                  <c:v>2318.6986288797998</c:v>
                </c:pt>
                <c:pt idx="2">
                  <c:v>2340.9139449149948</c:v>
                </c:pt>
                <c:pt idx="3">
                  <c:v>2296.0544799055378</c:v>
                </c:pt>
                <c:pt idx="4">
                  <c:v>2217.8337300844505</c:v>
                </c:pt>
                <c:pt idx="5">
                  <c:v>2288.7691369610029</c:v>
                </c:pt>
                <c:pt idx="6">
                  <c:v>2329.8879461014176</c:v>
                </c:pt>
                <c:pt idx="7">
                  <c:v>2357.8613443086124</c:v>
                </c:pt>
                <c:pt idx="8">
                  <c:v>2401.4732655922621</c:v>
                </c:pt>
                <c:pt idx="9">
                  <c:v>2515.8263037172901</c:v>
                </c:pt>
                <c:pt idx="10">
                  <c:v>2558.8562149999998</c:v>
                </c:pt>
                <c:pt idx="11">
                  <c:v>2538.3372820000004</c:v>
                </c:pt>
                <c:pt idx="12">
                  <c:v>2560.1048920000007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59-49C9-86E6-ED98E744ED4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4771792"/>
        <c:axId val="4247729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'Mise sur le marché'!$B$17</c15:sqref>
                        </c15:formulaRef>
                      </c:ext>
                    </c:extLst>
                    <c:strCache>
                      <c:ptCount val="1"/>
                      <c:pt idx="0">
                        <c:v>Aluminium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2">
                              <a:lumMod val="50000"/>
                            </a:schemeClr>
                          </a:solidFill>
                          <a:latin typeface="Marianne Light" panose="02000000000000000000" pitchFamily="50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'Mise sur le marché'!$E$5:$Q$5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'Mise sur le marché'!$E$17:$N$17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57.634636197741102</c:v>
                      </c:pt>
                      <c:pt idx="1">
                        <c:v>59.8122905522183</c:v>
                      </c:pt>
                      <c:pt idx="2">
                        <c:v>67.254904584578938</c:v>
                      </c:pt>
                      <c:pt idx="3">
                        <c:v>66.994146344423797</c:v>
                      </c:pt>
                      <c:pt idx="4">
                        <c:v>66.107699610403856</c:v>
                      </c:pt>
                      <c:pt idx="5">
                        <c:v>67.146221772580944</c:v>
                      </c:pt>
                      <c:pt idx="6">
                        <c:v>71.987320641933039</c:v>
                      </c:pt>
                      <c:pt idx="7">
                        <c:v>78.682139138768903</c:v>
                      </c:pt>
                      <c:pt idx="8">
                        <c:v>84.227244590057254</c:v>
                      </c:pt>
                      <c:pt idx="9">
                        <c:v>84.924120657783803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359-49C9-86E6-ED98E744ED4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'Mise sur le marché'!$B$16</c15:sqref>
                        </c15:formulaRef>
                      </c:ext>
                    </c:extLst>
                    <c:strCache>
                      <c:ptCount val="1"/>
                      <c:pt idx="0">
                        <c:v>Acier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2">
                              <a:lumMod val="50000"/>
                            </a:schemeClr>
                          </a:solidFill>
                          <a:latin typeface="Marianne Light" panose="02000000000000000000" pitchFamily="50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'Mise sur le marché'!$E$5:$Q$5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'Mise sur le marché'!$E$16:$N$16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285.41244100160901</c:v>
                      </c:pt>
                      <c:pt idx="1">
                        <c:v>281.13583722377803</c:v>
                      </c:pt>
                      <c:pt idx="2">
                        <c:v>286.95983995466906</c:v>
                      </c:pt>
                      <c:pt idx="3">
                        <c:v>313.67513580303796</c:v>
                      </c:pt>
                      <c:pt idx="4">
                        <c:v>299.43525774536175</c:v>
                      </c:pt>
                      <c:pt idx="5">
                        <c:v>278.77891526357462</c:v>
                      </c:pt>
                      <c:pt idx="6">
                        <c:v>274.02595785750776</c:v>
                      </c:pt>
                      <c:pt idx="7">
                        <c:v>254.39222331007218</c:v>
                      </c:pt>
                      <c:pt idx="8">
                        <c:v>252.42663279992021</c:v>
                      </c:pt>
                      <c:pt idx="9">
                        <c:v>255.25091234674801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359-49C9-86E6-ED98E744ED4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'Mise sur le marché'!$B$18</c15:sqref>
                        </c15:formulaRef>
                      </c:ext>
                    </c:extLst>
                    <c:strCache>
                      <c:ptCount val="1"/>
                      <c:pt idx="0">
                        <c:v>Papier/Carton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2">
                              <a:lumMod val="50000"/>
                            </a:schemeClr>
                          </a:solidFill>
                          <a:latin typeface="Marianne Light" panose="02000000000000000000" pitchFamily="50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b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'Mise sur le marché'!$E$5:$Q$5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'Mise sur le marché'!$E$18:$N$18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903.75209910993601</c:v>
                      </c:pt>
                      <c:pt idx="1">
                        <c:v>921.27938728234665</c:v>
                      </c:pt>
                      <c:pt idx="2">
                        <c:v>948.32392209140596</c:v>
                      </c:pt>
                      <c:pt idx="3">
                        <c:v>1017.3767245442259</c:v>
                      </c:pt>
                      <c:pt idx="4">
                        <c:v>1024.6331260001339</c:v>
                      </c:pt>
                      <c:pt idx="5">
                        <c:v>1047.4329692294398</c:v>
                      </c:pt>
                      <c:pt idx="6">
                        <c:v>1052.3337747917224</c:v>
                      </c:pt>
                      <c:pt idx="7">
                        <c:v>1091.8964201675351</c:v>
                      </c:pt>
                      <c:pt idx="8">
                        <c:v>1120.2177878160846</c:v>
                      </c:pt>
                      <c:pt idx="9">
                        <c:v>1136.6841911875383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359-49C9-86E6-ED98E744ED4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'Mise sur le marché'!$B$22</c15:sqref>
                        </c15:formulaRef>
                      </c:ext>
                    </c:extLst>
                    <c:strCache>
                      <c:ptCount val="1"/>
                      <c:pt idx="0">
                        <c:v>Plastique</c:v>
                      </c:pt>
                    </c:strCache>
                  </c:strRef>
                </c:tx>
                <c:spPr>
                  <a:ln w="317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2">
                              <a:lumMod val="50000"/>
                            </a:schemeClr>
                          </a:solidFill>
                          <a:latin typeface="Marianne Light" panose="02000000000000000000" pitchFamily="50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'Mise sur le marché'!$E$5:$Q$5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'Mise sur le marché'!$E$22:$N$22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1031.837298224789</c:v>
                      </c:pt>
                      <c:pt idx="1">
                        <c:v>1060.7585587498932</c:v>
                      </c:pt>
                      <c:pt idx="2">
                        <c:v>1066.4541444084578</c:v>
                      </c:pt>
                      <c:pt idx="3">
                        <c:v>1080.5776774125461</c:v>
                      </c:pt>
                      <c:pt idx="4">
                        <c:v>1088.6322801038104</c:v>
                      </c:pt>
                      <c:pt idx="5">
                        <c:v>1104.5364889099308</c:v>
                      </c:pt>
                      <c:pt idx="6">
                        <c:v>1125.0732427571127</c:v>
                      </c:pt>
                      <c:pt idx="7">
                        <c:v>1147.1218005760795</c:v>
                      </c:pt>
                      <c:pt idx="8">
                        <c:v>1170.1908711714614</c:v>
                      </c:pt>
                      <c:pt idx="9">
                        <c:v>1165.352623552508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359-49C9-86E6-ED98E744ED44}"/>
                  </c:ext>
                </c:extLst>
              </c15:ser>
            </c15:filteredLineSeries>
          </c:ext>
        </c:extLst>
      </c:lineChart>
      <c:catAx>
        <c:axId val="42477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4772968"/>
        <c:crosses val="autoZero"/>
        <c:auto val="1"/>
        <c:lblAlgn val="ctr"/>
        <c:lblOffset val="100"/>
        <c:noMultiLvlLbl val="0"/>
      </c:catAx>
      <c:valAx>
        <c:axId val="424772968"/>
        <c:scaling>
          <c:orientation val="minMax"/>
          <c:min val="2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4771792"/>
        <c:crosses val="autoZero"/>
        <c:crossBetween val="between"/>
        <c:majorUnit val="2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870206432121422E-2"/>
          <c:y val="0.89412197601581789"/>
          <c:w val="0.96612979356787854"/>
          <c:h val="9.1662938749449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2">
              <a:lumMod val="50000"/>
            </a:schemeClr>
          </a:solidFill>
          <a:latin typeface="Marianne Light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Répartition du tonnage par option de reprise - Aluminium Mâchefers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053333160874905E-2"/>
          <c:y val="0.16503349683997443"/>
          <c:w val="0.95893333678250192"/>
          <c:h val="0.649832373556304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Aluminium!$B$28</c:f>
              <c:strCache>
                <c:ptCount val="1"/>
                <c:pt idx="0">
                  <c:v>    % tonnage option filière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Aluminium!$K$4:$Q$4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Aluminium!$K$28:$Q$28</c:f>
              <c:numCache>
                <c:formatCode>0%</c:formatCode>
                <c:ptCount val="7"/>
                <c:pt idx="0">
                  <c:v>0.01</c:v>
                </c:pt>
                <c:pt idx="1">
                  <c:v>0.01</c:v>
                </c:pt>
                <c:pt idx="2" formatCode="0.0%">
                  <c:v>2E-3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A-4C98-92BB-1649119E9454}"/>
            </c:ext>
          </c:extLst>
        </c:ser>
        <c:ser>
          <c:idx val="1"/>
          <c:order val="1"/>
          <c:tx>
            <c:strRef>
              <c:f>Aluminium!$B$29</c:f>
              <c:strCache>
                <c:ptCount val="1"/>
                <c:pt idx="0">
                  <c:v>    % tonnage option fédérations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Aluminium!$K$29:$Q$29</c:f>
              <c:numCache>
                <c:formatCode>0%</c:formatCode>
                <c:ptCount val="7"/>
                <c:pt idx="0">
                  <c:v>0.33</c:v>
                </c:pt>
                <c:pt idx="1">
                  <c:v>0.38</c:v>
                </c:pt>
                <c:pt idx="2" formatCode="0.0%">
                  <c:v>0.28499999999999998</c:v>
                </c:pt>
                <c:pt idx="3" formatCode="0.0%">
                  <c:v>0.23200000000000001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A-4C98-92BB-1649119E9454}"/>
            </c:ext>
          </c:extLst>
        </c:ser>
        <c:ser>
          <c:idx val="2"/>
          <c:order val="2"/>
          <c:tx>
            <c:strRef>
              <c:f>Aluminium!$B$30</c:f>
              <c:strCache>
                <c:ptCount val="1"/>
                <c:pt idx="0">
                  <c:v>    % tonnage option individuelle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Aluminium!$K$30:$Q$30</c:f>
              <c:numCache>
                <c:formatCode>0%</c:formatCode>
                <c:ptCount val="7"/>
                <c:pt idx="0">
                  <c:v>0.67</c:v>
                </c:pt>
                <c:pt idx="1">
                  <c:v>0.61</c:v>
                </c:pt>
                <c:pt idx="2" formatCode="0.0%">
                  <c:v>0.71299999999999997</c:v>
                </c:pt>
                <c:pt idx="3" formatCode="0.0%">
                  <c:v>0.76800000000000002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8A-4C98-92BB-1649119E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449928"/>
        <c:axId val="534456984"/>
      </c:barChart>
      <c:catAx>
        <c:axId val="53444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6984"/>
        <c:crosses val="autoZero"/>
        <c:auto val="1"/>
        <c:lblAlgn val="ctr"/>
        <c:lblOffset val="100"/>
        <c:noMultiLvlLbl val="0"/>
      </c:catAx>
      <c:valAx>
        <c:axId val="534456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4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25306465184483E-2"/>
          <c:y val="0.86574800931435847"/>
          <c:w val="0.92154919421203496"/>
          <c:h val="0.11212196721387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% des tonnages recyclés selon la destination - Aluminium Mâchefers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0529592960039596E-2"/>
          <c:y val="0.21571492608153006"/>
          <c:w val="0.95894081407992082"/>
          <c:h val="0.5934148273896371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Aluminium!$B$31</c:f>
              <c:strCache>
                <c:ptCount val="1"/>
                <c:pt idx="0">
                  <c:v>% tonnage recyclé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Aluminium!$K$31:$Q$31</c:f>
              <c:numCache>
                <c:formatCode>0%</c:formatCode>
                <c:ptCount val="7"/>
                <c:pt idx="0">
                  <c:v>0.94</c:v>
                </c:pt>
                <c:pt idx="1">
                  <c:v>0.95</c:v>
                </c:pt>
                <c:pt idx="2">
                  <c:v>0.92999999999999994</c:v>
                </c:pt>
                <c:pt idx="3">
                  <c:v>0.78</c:v>
                </c:pt>
                <c:pt idx="4">
                  <c:v>0.49</c:v>
                </c:pt>
                <c:pt idx="5">
                  <c:v>0.79600000000000004</c:v>
                </c:pt>
                <c:pt idx="6">
                  <c:v>0.873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6-4A25-9FA7-F05B5925E5D9}"/>
            </c:ext>
          </c:extLst>
        </c:ser>
        <c:ser>
          <c:idx val="0"/>
          <c:order val="1"/>
          <c:tx>
            <c:strRef>
              <c:f>Aluminium!$B$32</c:f>
              <c:strCache>
                <c:ptCount val="1"/>
                <c:pt idx="0">
                  <c:v>% tonnage recyclé export Europe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Aluminium!$K$4:$O$4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Aluminium!$K$32:$Q$32</c:f>
              <c:numCache>
                <c:formatCode>0%</c:formatCode>
                <c:ptCount val="7"/>
                <c:pt idx="0">
                  <c:v>0.06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0.22</c:v>
                </c:pt>
                <c:pt idx="4">
                  <c:v>0.51</c:v>
                </c:pt>
                <c:pt idx="5">
                  <c:v>0.20399999999999999</c:v>
                </c:pt>
                <c:pt idx="6">
                  <c:v>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4-416D-A1E5-692C363346BC}"/>
            </c:ext>
          </c:extLst>
        </c:ser>
        <c:ser>
          <c:idx val="1"/>
          <c:order val="2"/>
          <c:tx>
            <c:strRef>
              <c:f>Aluminium!$B$33</c:f>
              <c:strCache>
                <c:ptCount val="1"/>
                <c:pt idx="0">
                  <c:v>% tonnage recyclé export hors Europe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504612048759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F9-4671-84FB-860CE0B98843}"/>
                </c:ext>
              </c:extLst>
            </c:dLbl>
            <c:dLbl>
              <c:idx val="1"/>
              <c:layout>
                <c:manualLayout>
                  <c:x val="-6.6855100778802384E-17"/>
                  <c:y val="-3.9426885548545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671-84FB-860CE0B98843}"/>
                </c:ext>
              </c:extLst>
            </c:dLbl>
            <c:dLbl>
              <c:idx val="2"/>
              <c:layout>
                <c:manualLayout>
                  <c:x val="-6.6855100778802384E-17"/>
                  <c:y val="-3.0665355426646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F9-4671-84FB-860CE0B988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Aluminium!$K$4:$O$4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Aluminium!$K$33:$Q$33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4-416D-A1E5-692C36334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4451104"/>
        <c:axId val="534452280"/>
      </c:barChart>
      <c:catAx>
        <c:axId val="5344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2280"/>
        <c:crosses val="autoZero"/>
        <c:auto val="1"/>
        <c:lblAlgn val="ctr"/>
        <c:lblOffset val="100"/>
        <c:noMultiLvlLbl val="0"/>
      </c:catAx>
      <c:valAx>
        <c:axId val="53445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426236231983512E-2"/>
          <c:y val="0.90186497542747657"/>
          <c:w val="0.97688003384664168"/>
          <c:h val="7.4215424563482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% des tonnages recyclés selon la destination - Aluminium 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Aluminium!$B$23</c:f>
              <c:strCache>
                <c:ptCount val="1"/>
                <c:pt idx="0">
                  <c:v>% tonnage recyclé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Aluminium!$K$23:$Q$23</c:f>
              <c:numCache>
                <c:formatCode>0%</c:formatCode>
                <c:ptCount val="7"/>
                <c:pt idx="0">
                  <c:v>0.76</c:v>
                </c:pt>
                <c:pt idx="1">
                  <c:v>0.67999999999999994</c:v>
                </c:pt>
                <c:pt idx="2">
                  <c:v>0.52</c:v>
                </c:pt>
                <c:pt idx="3">
                  <c:v>0.5</c:v>
                </c:pt>
                <c:pt idx="4">
                  <c:v>0.48</c:v>
                </c:pt>
                <c:pt idx="5">
                  <c:v>0.44700000000000001</c:v>
                </c:pt>
                <c:pt idx="6">
                  <c:v>0.47099999999999997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B-4469-A4BF-7EB2C6140A16}"/>
            </c:ext>
          </c:extLst>
        </c:ser>
        <c:ser>
          <c:idx val="0"/>
          <c:order val="1"/>
          <c:tx>
            <c:strRef>
              <c:f>Aluminium!$B$24</c:f>
              <c:strCache>
                <c:ptCount val="1"/>
                <c:pt idx="0">
                  <c:v>% tonnage recyclé export Europe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Aluminium!$K$17:$O$17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Aluminium!$K$24:$Q$24</c:f>
              <c:numCache>
                <c:formatCode>0%</c:formatCode>
                <c:ptCount val="7"/>
                <c:pt idx="0">
                  <c:v>0.24</c:v>
                </c:pt>
                <c:pt idx="1">
                  <c:v>0.32</c:v>
                </c:pt>
                <c:pt idx="2">
                  <c:v>0.48</c:v>
                </c:pt>
                <c:pt idx="3">
                  <c:v>0.5</c:v>
                </c:pt>
                <c:pt idx="4">
                  <c:v>0.52</c:v>
                </c:pt>
                <c:pt idx="5">
                  <c:v>0.55300000000000005</c:v>
                </c:pt>
                <c:pt idx="6">
                  <c:v>0.52900000000000003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4-481E-B266-28D755E39266}"/>
            </c:ext>
          </c:extLst>
        </c:ser>
        <c:ser>
          <c:idx val="1"/>
          <c:order val="2"/>
          <c:tx>
            <c:strRef>
              <c:f>Aluminium!$B$25</c:f>
              <c:strCache>
                <c:ptCount val="1"/>
                <c:pt idx="0">
                  <c:v>% tonnage recyclé export hors Europe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Aluminium!$K$17:$O$17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Aluminium!$K$25:$Q$25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4-481E-B266-28D755E39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4453064"/>
        <c:axId val="534450712"/>
      </c:barChart>
      <c:catAx>
        <c:axId val="53445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0712"/>
        <c:crosses val="autoZero"/>
        <c:auto val="1"/>
        <c:lblAlgn val="ctr"/>
        <c:lblOffset val="100"/>
        <c:noMultiLvlLbl val="0"/>
      </c:catAx>
      <c:valAx>
        <c:axId val="53445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44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tonnages contribuants et recyclage matière et du taux de recyclage de Papier-Carton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'Papier-Carton'!$B$7</c:f>
              <c:strCache>
                <c:ptCount val="1"/>
                <c:pt idx="0">
                  <c:v>Tonnage contribuant total PC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6.770564928041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26-4598-9551-4EA80A734898}"/>
                </c:ext>
              </c:extLst>
            </c:dLbl>
            <c:dLbl>
              <c:idx val="1"/>
              <c:layout>
                <c:manualLayout>
                  <c:x val="8.1309070522939976E-6"/>
                  <c:y val="6.8058558070782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26-4598-9551-4EA80A734898}"/>
                </c:ext>
              </c:extLst>
            </c:dLbl>
            <c:dLbl>
              <c:idx val="2"/>
              <c:layout>
                <c:manualLayout>
                  <c:x val="0"/>
                  <c:y val="5.52788240374591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26-4598-9551-4EA80A7348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'Papier-Carton'!$E$7:$Q$7</c:f>
              <c:numCache>
                <c:formatCode>0</c:formatCode>
                <c:ptCount val="13"/>
                <c:pt idx="0">
                  <c:v>903.75209910993601</c:v>
                </c:pt>
                <c:pt idx="1">
                  <c:v>921.27938728234665</c:v>
                </c:pt>
                <c:pt idx="2">
                  <c:v>948.32392209140596</c:v>
                </c:pt>
                <c:pt idx="3">
                  <c:v>1017.3767245442259</c:v>
                </c:pt>
                <c:pt idx="4">
                  <c:v>1024.6331260001339</c:v>
                </c:pt>
                <c:pt idx="5">
                  <c:v>1047.4329692294398</c:v>
                </c:pt>
                <c:pt idx="6">
                  <c:v>1052.3337747917224</c:v>
                </c:pt>
                <c:pt idx="7">
                  <c:v>1091.8964201675351</c:v>
                </c:pt>
                <c:pt idx="8">
                  <c:v>1120.2177878160846</c:v>
                </c:pt>
                <c:pt idx="9">
                  <c:v>1136.6841911875383</c:v>
                </c:pt>
                <c:pt idx="10">
                  <c:v>1149.3596709999999</c:v>
                </c:pt>
                <c:pt idx="11">
                  <c:v>1168.2691379999997</c:v>
                </c:pt>
                <c:pt idx="12">
                  <c:v>1157.8295030000002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D-4463-85FE-16E127C8946A}"/>
            </c:ext>
          </c:extLst>
        </c:ser>
        <c:ser>
          <c:idx val="1"/>
          <c:order val="1"/>
          <c:tx>
            <c:strRef>
              <c:f>'Papier-Carton'!$B$10</c:f>
              <c:strCache>
                <c:ptCount val="1"/>
                <c:pt idx="0">
                  <c:v>Tonnage recyclé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'Papier-Carton'!$E$10:$Q$10</c:f>
              <c:numCache>
                <c:formatCode>#,##0</c:formatCode>
                <c:ptCount val="13"/>
                <c:pt idx="0">
                  <c:v>484.92438599999997</c:v>
                </c:pt>
                <c:pt idx="1">
                  <c:v>507.81369299999892</c:v>
                </c:pt>
                <c:pt idx="2">
                  <c:v>603.52641799999913</c:v>
                </c:pt>
                <c:pt idx="3">
                  <c:v>637.893171999998</c:v>
                </c:pt>
                <c:pt idx="4">
                  <c:v>655.67706999999905</c:v>
                </c:pt>
                <c:pt idx="5">
                  <c:v>667.94209400000011</c:v>
                </c:pt>
                <c:pt idx="6">
                  <c:v>678.53460899999845</c:v>
                </c:pt>
                <c:pt idx="7">
                  <c:v>696.51250199999902</c:v>
                </c:pt>
                <c:pt idx="8">
                  <c:v>707.56377399999894</c:v>
                </c:pt>
                <c:pt idx="9">
                  <c:v>759.8638520900065</c:v>
                </c:pt>
                <c:pt idx="10">
                  <c:v>782.52359000000001</c:v>
                </c:pt>
                <c:pt idx="11">
                  <c:v>761.14527118118986</c:v>
                </c:pt>
                <c:pt idx="12">
                  <c:v>830.73088959064307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ED-4463-85FE-16E127C8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155384"/>
        <c:axId val="535152248"/>
      </c:barChart>
      <c:lineChart>
        <c:grouping val="standard"/>
        <c:varyColors val="0"/>
        <c:ser>
          <c:idx val="2"/>
          <c:order val="2"/>
          <c:tx>
            <c:strRef>
              <c:f>'Papier-Carton'!$B$19</c:f>
              <c:strCache>
                <c:ptCount val="1"/>
                <c:pt idx="0">
                  <c:v>Taux de recyclage total PC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908379830230414E-2"/>
                  <c:y val="-5.4592983716925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BC-4BE5-A540-463C8A9DC8AC}"/>
                </c:ext>
              </c:extLst>
            </c:dLbl>
            <c:dLbl>
              <c:idx val="1"/>
              <c:layout>
                <c:manualLayout>
                  <c:x val="-1.5740840940932709E-2"/>
                  <c:y val="-6.674048692676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BC-4BE5-A540-463C8A9DC8AC}"/>
                </c:ext>
              </c:extLst>
            </c:dLbl>
            <c:dLbl>
              <c:idx val="2"/>
              <c:layout>
                <c:manualLayout>
                  <c:x val="-1.7515214098496736E-2"/>
                  <c:y val="-3.7435729503566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26-4598-9551-4EA80A734898}"/>
                </c:ext>
              </c:extLst>
            </c:dLbl>
            <c:dLbl>
              <c:idx val="3"/>
              <c:layout>
                <c:manualLayout>
                  <c:x val="-1.3908379830230414E-2"/>
                  <c:y val="-5.4592983716925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BC-4BE5-A540-463C8A9DC8AC}"/>
                </c:ext>
              </c:extLst>
            </c:dLbl>
            <c:dLbl>
              <c:idx val="4"/>
              <c:layout>
                <c:manualLayout>
                  <c:x val="-1.0243457608825892E-2"/>
                  <c:y val="-5.4592983716925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BC-4BE5-A540-463C8A9DC8AC}"/>
                </c:ext>
              </c:extLst>
            </c:dLbl>
            <c:dLbl>
              <c:idx val="5"/>
              <c:layout>
                <c:manualLayout>
                  <c:x val="-1.5740840940932709E-2"/>
                  <c:y val="-5.4592983716925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BC-4BE5-A540-463C8A9DC8AC}"/>
                </c:ext>
              </c:extLst>
            </c:dLbl>
            <c:dLbl>
              <c:idx val="6"/>
              <c:layout>
                <c:manualLayout>
                  <c:x val="-1.2075918719528119E-2"/>
                  <c:y val="-5.4592983716925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BC-4BE5-A540-463C8A9DC8AC}"/>
                </c:ext>
              </c:extLst>
            </c:dLbl>
            <c:dLbl>
              <c:idx val="7"/>
              <c:layout>
                <c:manualLayout>
                  <c:x val="-1.3908379830230414E-2"/>
                  <c:y val="-5.0543815980311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BC-4BE5-A540-463C8A9DC8AC}"/>
                </c:ext>
              </c:extLst>
            </c:dLbl>
            <c:dLbl>
              <c:idx val="8"/>
              <c:layout>
                <c:manualLayout>
                  <c:x val="-1.3908379830230548E-2"/>
                  <c:y val="-5.8642151453539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BC-4BE5-A540-463C8A9DC8AC}"/>
                </c:ext>
              </c:extLst>
            </c:dLbl>
            <c:dLbl>
              <c:idx val="9"/>
              <c:layout>
                <c:manualLayout>
                  <c:x val="-1.3899289668815254E-2"/>
                  <c:y val="-5.4592983716925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BC-4BE5-A540-463C8A9DC8AC}"/>
                </c:ext>
              </c:extLst>
            </c:dLbl>
            <c:dLbl>
              <c:idx val="10"/>
              <c:layout>
                <c:manualLayout>
                  <c:x val="-1.7573302051635004E-2"/>
                  <c:y val="-4.6494648243697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BC-4BE5-A540-463C8A9DC8AC}"/>
                </c:ext>
              </c:extLst>
            </c:dLbl>
            <c:dLbl>
              <c:idx val="12"/>
              <c:layout>
                <c:manualLayout>
                  <c:x val="-1.0097149296522508E-2"/>
                  <c:y val="-5.3600778205402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9A-490D-8940-B34FC05B53C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'Papier-Carton'!$E$19:$Q$19</c:f>
              <c:numCache>
                <c:formatCode>0%</c:formatCode>
                <c:ptCount val="13"/>
                <c:pt idx="0">
                  <c:v>0.53656792219634097</c:v>
                </c:pt>
                <c:pt idx="1">
                  <c:v>0.55120487879141933</c:v>
                </c:pt>
                <c:pt idx="2">
                  <c:v>0.63641378640855073</c:v>
                </c:pt>
                <c:pt idx="3">
                  <c:v>0.62699800045628862</c:v>
                </c:pt>
                <c:pt idx="4">
                  <c:v>0.6399139881018383</c:v>
                </c:pt>
                <c:pt idx="5">
                  <c:v>0.63769435717818013</c:v>
                </c:pt>
                <c:pt idx="6">
                  <c:v>0.64479029871895333</c:v>
                </c:pt>
                <c:pt idx="7">
                  <c:v>0.63789246776093433</c:v>
                </c:pt>
                <c:pt idx="8">
                  <c:v>0.63163054693090226</c:v>
                </c:pt>
                <c:pt idx="9" formatCode="0.0%">
                  <c:v>0.66849161621236863</c:v>
                </c:pt>
                <c:pt idx="10" formatCode="0.0%">
                  <c:v>0.68083438956855491</c:v>
                </c:pt>
                <c:pt idx="11" formatCode="0.0%">
                  <c:v>0.65151534558571045</c:v>
                </c:pt>
                <c:pt idx="12" formatCode="0.0%">
                  <c:v>0.71748982681661977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ED-4463-85FE-16E127C8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55776"/>
        <c:axId val="535152640"/>
      </c:lineChart>
      <c:catAx>
        <c:axId val="53515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2248"/>
        <c:crosses val="autoZero"/>
        <c:auto val="1"/>
        <c:lblAlgn val="ctr"/>
        <c:lblOffset val="100"/>
        <c:noMultiLvlLbl val="0"/>
      </c:catAx>
      <c:valAx>
        <c:axId val="53515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5384"/>
        <c:crosses val="autoZero"/>
        <c:crossBetween val="between"/>
      </c:valAx>
      <c:valAx>
        <c:axId val="535152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5776"/>
        <c:crosses val="max"/>
        <c:crossBetween val="between"/>
      </c:valAx>
      <c:catAx>
        <c:axId val="53515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535152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éco-contributions totales et moyennes pour le papier/carton (M€ et 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'Papier-Carton'!$E$55:$Q$55</c:f>
              <c:numCache>
                <c:formatCode>#\ ##0.0</c:formatCode>
                <c:ptCount val="13"/>
                <c:pt idx="0">
                  <c:v>136.10565863237798</c:v>
                </c:pt>
                <c:pt idx="1">
                  <c:v>171</c:v>
                </c:pt>
                <c:pt idx="2">
                  <c:v>188</c:v>
                </c:pt>
                <c:pt idx="3">
                  <c:v>205</c:v>
                </c:pt>
                <c:pt idx="4">
                  <c:v>206</c:v>
                </c:pt>
                <c:pt idx="5">
                  <c:v>211.96976660737113</c:v>
                </c:pt>
                <c:pt idx="6">
                  <c:v>209</c:v>
                </c:pt>
                <c:pt idx="7">
                  <c:v>206</c:v>
                </c:pt>
                <c:pt idx="8">
                  <c:v>171.69707677746689</c:v>
                </c:pt>
                <c:pt idx="9">
                  <c:v>170.89996925659807</c:v>
                </c:pt>
                <c:pt idx="10">
                  <c:v>177.49684113135521</c:v>
                </c:pt>
                <c:pt idx="11">
                  <c:v>181.21750528269786</c:v>
                </c:pt>
                <c:pt idx="12">
                  <c:v>194.4996524487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C-430D-B326-0FEBA01A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156952"/>
        <c:axId val="535153816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'Papier-Carton'!$E$56:$Q$56</c:f>
              <c:numCache>
                <c:formatCode>#\ ##0.0</c:formatCode>
                <c:ptCount val="13"/>
                <c:pt idx="0">
                  <c:v>150.60065560724252</c:v>
                </c:pt>
                <c:pt idx="1">
                  <c:v>185.61144682117288</c:v>
                </c:pt>
                <c:pt idx="2">
                  <c:v>198.24449813033323</c:v>
                </c:pt>
                <c:pt idx="3">
                  <c:v>201.49861408696748</c:v>
                </c:pt>
                <c:pt idx="4">
                  <c:v>201.04756987914627</c:v>
                </c:pt>
                <c:pt idx="5">
                  <c:v>202.3707223606967</c:v>
                </c:pt>
                <c:pt idx="6">
                  <c:v>198.60618846084762</c:v>
                </c:pt>
                <c:pt idx="7">
                  <c:v>188.66258391834674</c:v>
                </c:pt>
                <c:pt idx="8">
                  <c:v>153.27115730968541</c:v>
                </c:pt>
                <c:pt idx="9">
                  <c:v>150.34956110197345</c:v>
                </c:pt>
                <c:pt idx="10">
                  <c:v>154.43106767172728</c:v>
                </c:pt>
                <c:pt idx="11">
                  <c:v>155.11623083096279</c:v>
                </c:pt>
                <c:pt idx="12">
                  <c:v>167.98643664264958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C-430D-B326-0FEBA01A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57344"/>
        <c:axId val="535149896"/>
      </c:lineChart>
      <c:catAx>
        <c:axId val="53515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3816"/>
        <c:crosses val="autoZero"/>
        <c:auto val="1"/>
        <c:lblAlgn val="ctr"/>
        <c:lblOffset val="100"/>
        <c:noMultiLvlLbl val="0"/>
      </c:catAx>
      <c:valAx>
        <c:axId val="53515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6952"/>
        <c:crosses val="autoZero"/>
        <c:crossBetween val="between"/>
      </c:valAx>
      <c:valAx>
        <c:axId val="53514989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7344"/>
        <c:crosses val="max"/>
        <c:crossBetween val="between"/>
      </c:valAx>
      <c:catAx>
        <c:axId val="53515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49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 sz="1400" b="0"/>
              <a:t>Prix de reprise par standard - Papier/Carton (€/t)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81421809467762E-2"/>
          <c:y val="0.16351589384660253"/>
          <c:w val="0.90000488996449268"/>
          <c:h val="0.71562620259355414"/>
        </c:manualLayout>
      </c:layout>
      <c:lineChart>
        <c:grouping val="standard"/>
        <c:varyColors val="0"/>
        <c:ser>
          <c:idx val="0"/>
          <c:order val="0"/>
          <c:tx>
            <c:strRef>
              <c:f>'Papier-Carton'!$B$59</c:f>
              <c:strCache>
                <c:ptCount val="1"/>
                <c:pt idx="0">
                  <c:v>Prix de reprise CS PCNC 5.02A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5400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'Papier-Carton'!$E$4:$Q$4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'Papier-Carton'!$E$59:$Q$59</c:f>
              <c:numCache>
                <c:formatCode>0</c:formatCode>
                <c:ptCount val="13"/>
                <c:pt idx="0">
                  <c:v>26</c:v>
                </c:pt>
                <c:pt idx="1">
                  <c:v>72</c:v>
                </c:pt>
                <c:pt idx="2">
                  <c:v>102</c:v>
                </c:pt>
                <c:pt idx="3">
                  <c:v>85</c:v>
                </c:pt>
                <c:pt idx="4">
                  <c:v>79</c:v>
                </c:pt>
                <c:pt idx="5">
                  <c:v>75.8</c:v>
                </c:pt>
                <c:pt idx="6">
                  <c:v>89.6</c:v>
                </c:pt>
                <c:pt idx="7">
                  <c:v>97.308999999999983</c:v>
                </c:pt>
                <c:pt idx="8">
                  <c:v>106.8</c:v>
                </c:pt>
                <c:pt idx="9">
                  <c:v>75.2</c:v>
                </c:pt>
                <c:pt idx="10">
                  <c:v>48.841840185226999</c:v>
                </c:pt>
                <c:pt idx="11">
                  <c:v>30.8775217553051</c:v>
                </c:pt>
                <c:pt idx="12">
                  <c:v>146.33956278418441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69-40F7-86BA-43BB1DFFF2C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5158128"/>
        <c:axId val="535156560"/>
      </c:lineChart>
      <c:catAx>
        <c:axId val="5351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6560"/>
        <c:crosses val="autoZero"/>
        <c:auto val="1"/>
        <c:lblAlgn val="ctr"/>
        <c:lblOffset val="100"/>
        <c:noMultiLvlLbl val="0"/>
      </c:catAx>
      <c:valAx>
        <c:axId val="53515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8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charges affectables totales et moyennes pour le papier/carton (M€ et 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'Papier-Carton'!$E$57:$Q$57</c:f>
              <c:numCache>
                <c:formatCode>#\ ##0.0</c:formatCode>
                <c:ptCount val="13"/>
                <c:pt idx="0">
                  <c:v>120.46341072</c:v>
                </c:pt>
                <c:pt idx="1">
                  <c:v>132.41099999999997</c:v>
                </c:pt>
                <c:pt idx="2">
                  <c:v>166</c:v>
                </c:pt>
                <c:pt idx="3">
                  <c:v>178</c:v>
                </c:pt>
                <c:pt idx="4">
                  <c:v>183</c:v>
                </c:pt>
                <c:pt idx="5">
                  <c:v>180</c:v>
                </c:pt>
                <c:pt idx="6">
                  <c:v>183.9</c:v>
                </c:pt>
                <c:pt idx="7">
                  <c:v>189.7395904</c:v>
                </c:pt>
                <c:pt idx="8">
                  <c:v>195.6</c:v>
                </c:pt>
                <c:pt idx="9">
                  <c:v>151.19999999999999</c:v>
                </c:pt>
                <c:pt idx="10">
                  <c:v>156.718078432645</c:v>
                </c:pt>
                <c:pt idx="11">
                  <c:v>152.82248782937333</c:v>
                </c:pt>
                <c:pt idx="12">
                  <c:v>167.9185461302566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E-4D79-B5FB-6CF5F1296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148328"/>
        <c:axId val="535151856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'Papier-Carton'!$E$58:$Q$58</c:f>
              <c:numCache>
                <c:formatCode>#\ ##0.0</c:formatCode>
                <c:ptCount val="13"/>
                <c:pt idx="0">
                  <c:v>133.29253767558481</c:v>
                </c:pt>
                <c:pt idx="1">
                  <c:v>143.72513032186149</c:v>
                </c:pt>
                <c:pt idx="2">
                  <c:v>175.04567388103891</c:v>
                </c:pt>
                <c:pt idx="3">
                  <c:v>174.9597722316108</c:v>
                </c:pt>
                <c:pt idx="4">
                  <c:v>178.60051110623186</c:v>
                </c:pt>
                <c:pt idx="5">
                  <c:v>171.84870563356409</c:v>
                </c:pt>
                <c:pt idx="6">
                  <c:v>174.75444046865971</c:v>
                </c:pt>
                <c:pt idx="7">
                  <c:v>173.77068639064436</c:v>
                </c:pt>
                <c:pt idx="8">
                  <c:v>174.6089038465735</c:v>
                </c:pt>
                <c:pt idx="9">
                  <c:v>133.01847705125155</c:v>
                </c:pt>
                <c:pt idx="10">
                  <c:v>136.35251208726726</c:v>
                </c:pt>
                <c:pt idx="11">
                  <c:v>130.81102877629331</c:v>
                </c:pt>
                <c:pt idx="12">
                  <c:v>145.02873324195866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E-4D79-B5FB-6CF5F1296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47936"/>
        <c:axId val="535158520"/>
      </c:lineChart>
      <c:catAx>
        <c:axId val="53514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1856"/>
        <c:crosses val="autoZero"/>
        <c:auto val="1"/>
        <c:lblAlgn val="ctr"/>
        <c:lblOffset val="100"/>
        <c:noMultiLvlLbl val="0"/>
      </c:catAx>
      <c:valAx>
        <c:axId val="53515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48328"/>
        <c:crosses val="autoZero"/>
        <c:crossBetween val="between"/>
      </c:valAx>
      <c:valAx>
        <c:axId val="53515852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47936"/>
        <c:crosses val="max"/>
        <c:crossBetween val="between"/>
      </c:valAx>
      <c:catAx>
        <c:axId val="53514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58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Répartition du tonnage par option de reprise - PCNC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0136109723780715E-2"/>
          <c:y val="0.13351954990254131"/>
          <c:w val="0.95972778055243857"/>
          <c:h val="0.71399035910763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'Papier-Carton'!$B$26</c:f>
              <c:strCache>
                <c:ptCount val="1"/>
                <c:pt idx="0">
                  <c:v>    % tonnage option filière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'Papier-Carton'!$K$23:$Q$23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'Papier-Carton'!$K$26:$Q$26</c:f>
              <c:numCache>
                <c:formatCode>0%</c:formatCode>
                <c:ptCount val="7"/>
                <c:pt idx="0">
                  <c:v>0.26</c:v>
                </c:pt>
                <c:pt idx="1">
                  <c:v>0.27</c:v>
                </c:pt>
                <c:pt idx="2">
                  <c:v>0.27</c:v>
                </c:pt>
                <c:pt idx="3">
                  <c:v>0.185</c:v>
                </c:pt>
                <c:pt idx="4">
                  <c:v>0.28999999999999998</c:v>
                </c:pt>
                <c:pt idx="5">
                  <c:v>0.32300000000000001</c:v>
                </c:pt>
                <c:pt idx="6">
                  <c:v>0.34100000000000003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D-410C-A8AA-09A7D21EB53D}"/>
            </c:ext>
          </c:extLst>
        </c:ser>
        <c:ser>
          <c:idx val="1"/>
          <c:order val="1"/>
          <c:tx>
            <c:strRef>
              <c:f>'Papier-Carton'!$B$27</c:f>
              <c:strCache>
                <c:ptCount val="1"/>
                <c:pt idx="0">
                  <c:v>    % tonnage option fédérations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'Papier-Carton'!$K$23:$Q$23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'Papier-Carton'!$K$27:$Q$27</c:f>
              <c:numCache>
                <c:formatCode>0%</c:formatCode>
                <c:ptCount val="7"/>
                <c:pt idx="0">
                  <c:v>0.67</c:v>
                </c:pt>
                <c:pt idx="1">
                  <c:v>0.68</c:v>
                </c:pt>
                <c:pt idx="2">
                  <c:v>0.67</c:v>
                </c:pt>
                <c:pt idx="3">
                  <c:v>0.77500000000000002</c:v>
                </c:pt>
                <c:pt idx="4">
                  <c:v>0.67</c:v>
                </c:pt>
                <c:pt idx="5">
                  <c:v>0.63800000000000001</c:v>
                </c:pt>
                <c:pt idx="6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D-410C-A8AA-09A7D21EB53D}"/>
            </c:ext>
          </c:extLst>
        </c:ser>
        <c:ser>
          <c:idx val="2"/>
          <c:order val="2"/>
          <c:tx>
            <c:strRef>
              <c:f>'Papier-Carton'!$B$28</c:f>
              <c:strCache>
                <c:ptCount val="1"/>
                <c:pt idx="0">
                  <c:v>    % tonnage option individuelle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'Papier-Carton'!$K$23:$Q$23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'Papier-Carton'!$K$28:$Q$28</c:f>
              <c:numCache>
                <c:formatCode>0%</c:formatCode>
                <c:ptCount val="7"/>
                <c:pt idx="0">
                  <c:v>0.06</c:v>
                </c:pt>
                <c:pt idx="1">
                  <c:v>0.05</c:v>
                </c:pt>
                <c:pt idx="2">
                  <c:v>0.06</c:v>
                </c:pt>
                <c:pt idx="3">
                  <c:v>0.04</c:v>
                </c:pt>
                <c:pt idx="4">
                  <c:v>0.03</c:v>
                </c:pt>
                <c:pt idx="5">
                  <c:v>3.5999999999999997E-2</c:v>
                </c:pt>
                <c:pt idx="6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5D-410C-A8AA-09A7D21EB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5146368"/>
        <c:axId val="535153032"/>
      </c:barChart>
      <c:catAx>
        <c:axId val="53514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3032"/>
        <c:crosses val="autoZero"/>
        <c:auto val="1"/>
        <c:lblAlgn val="ctr"/>
        <c:lblOffset val="100"/>
        <c:noMultiLvlLbl val="0"/>
      </c:catAx>
      <c:valAx>
        <c:axId val="535153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4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016577889705932E-2"/>
          <c:y val="0.90790252427955753"/>
          <c:w val="0.92154919421203496"/>
          <c:h val="8.605957606176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Répartition du tonnage par option de reprise - PCC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1.9705692589502916E-2"/>
          <c:y val="0.14522989162955433"/>
          <c:w val="0.96058861482099411"/>
          <c:h val="0.706824857762008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'Papier-Carton'!$B$34</c:f>
              <c:strCache>
                <c:ptCount val="1"/>
                <c:pt idx="0">
                  <c:v>    % tonnage option filière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'Papier-Carton'!$K$34:$Q$34</c:f>
              <c:numCache>
                <c:formatCode>0%</c:formatCode>
                <c:ptCount val="7"/>
                <c:pt idx="0">
                  <c:v>0.49</c:v>
                </c:pt>
                <c:pt idx="1">
                  <c:v>0.5</c:v>
                </c:pt>
                <c:pt idx="2">
                  <c:v>0.51</c:v>
                </c:pt>
                <c:pt idx="3">
                  <c:v>0.55000000000000004</c:v>
                </c:pt>
                <c:pt idx="4">
                  <c:v>0.56999999999999995</c:v>
                </c:pt>
                <c:pt idx="5">
                  <c:v>0.622</c:v>
                </c:pt>
                <c:pt idx="6">
                  <c:v>0.63500000000000001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1-4950-AFB1-EB7E0EE4C4FA}"/>
            </c:ext>
          </c:extLst>
        </c:ser>
        <c:ser>
          <c:idx val="1"/>
          <c:order val="1"/>
          <c:tx>
            <c:strRef>
              <c:f>'Papier-Carton'!$B$35</c:f>
              <c:strCache>
                <c:ptCount val="1"/>
                <c:pt idx="0">
                  <c:v>    % tonnage option fédérations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'Papier-Carton'!$K$35:$Q$35</c:f>
              <c:numCache>
                <c:formatCode>0%</c:formatCode>
                <c:ptCount val="7"/>
                <c:pt idx="0">
                  <c:v>0.49</c:v>
                </c:pt>
                <c:pt idx="1">
                  <c:v>0.47</c:v>
                </c:pt>
                <c:pt idx="2">
                  <c:v>0.46</c:v>
                </c:pt>
                <c:pt idx="3">
                  <c:v>0.43</c:v>
                </c:pt>
                <c:pt idx="4">
                  <c:v>0.42</c:v>
                </c:pt>
                <c:pt idx="5">
                  <c:v>0.36299999999999999</c:v>
                </c:pt>
                <c:pt idx="6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1-4950-AFB1-EB7E0EE4C4FA}"/>
            </c:ext>
          </c:extLst>
        </c:ser>
        <c:ser>
          <c:idx val="2"/>
          <c:order val="2"/>
          <c:tx>
            <c:strRef>
              <c:f>'Papier-Carton'!$B$36</c:f>
              <c:strCache>
                <c:ptCount val="1"/>
                <c:pt idx="0">
                  <c:v>    % tonnage option individuelle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'Papier-Carton'!$K$36:$Q$36</c:f>
              <c:numCache>
                <c:formatCode>0%</c:formatCode>
                <c:ptCount val="7"/>
                <c:pt idx="0">
                  <c:v>0.02</c:v>
                </c:pt>
                <c:pt idx="1">
                  <c:v>0.03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  <c:pt idx="5">
                  <c:v>1.4999999999999999E-2</c:v>
                </c:pt>
                <c:pt idx="6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1-4950-AFB1-EB7E0EE4C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5151072"/>
        <c:axId val="535154208"/>
      </c:barChart>
      <c:catAx>
        <c:axId val="5351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4208"/>
        <c:crosses val="autoZero"/>
        <c:auto val="1"/>
        <c:lblAlgn val="ctr"/>
        <c:lblOffset val="100"/>
        <c:noMultiLvlLbl val="0"/>
      </c:catAx>
      <c:valAx>
        <c:axId val="535154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25330715687623E-2"/>
          <c:y val="0.91402398018028697"/>
          <c:w val="0.92154919421203496"/>
          <c:h val="7.5915063621823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% des tonnages recyclés selon la destination - PCC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0755540295536907E-2"/>
          <c:y val="0.13414105078329874"/>
          <c:w val="0.95848891940892622"/>
          <c:h val="0.714258716621439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'Papier-Carton'!$B$37</c:f>
              <c:strCache>
                <c:ptCount val="1"/>
                <c:pt idx="0">
                  <c:v>% tonnage recyclé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'Papier-Carton'!$K$37:$Q$37</c:f>
              <c:numCache>
                <c:formatCode>0%</c:formatCode>
                <c:ptCount val="7"/>
                <c:pt idx="0">
                  <c:v>0.56000000000000005</c:v>
                </c:pt>
                <c:pt idx="1">
                  <c:v>0.63</c:v>
                </c:pt>
                <c:pt idx="2">
                  <c:v>0.56000000000000005</c:v>
                </c:pt>
                <c:pt idx="3">
                  <c:v>0.58000000000000007</c:v>
                </c:pt>
                <c:pt idx="4">
                  <c:v>0.55000000000000004</c:v>
                </c:pt>
                <c:pt idx="5">
                  <c:v>0.69399999999999995</c:v>
                </c:pt>
                <c:pt idx="6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8-4D54-9843-3312AF3D6A12}"/>
            </c:ext>
          </c:extLst>
        </c:ser>
        <c:ser>
          <c:idx val="0"/>
          <c:order val="1"/>
          <c:tx>
            <c:strRef>
              <c:f>'Papier-Carton'!$B$38</c:f>
              <c:strCache>
                <c:ptCount val="1"/>
                <c:pt idx="0">
                  <c:v>% tonnage recyclé export Europe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'Papier-Carton'!$K$38:$Q$38</c:f>
              <c:numCache>
                <c:formatCode>0%</c:formatCode>
                <c:ptCount val="7"/>
                <c:pt idx="0">
                  <c:v>0.44</c:v>
                </c:pt>
                <c:pt idx="1">
                  <c:v>0.37</c:v>
                </c:pt>
                <c:pt idx="2">
                  <c:v>0.43</c:v>
                </c:pt>
                <c:pt idx="3">
                  <c:v>0.42</c:v>
                </c:pt>
                <c:pt idx="4">
                  <c:v>0.43</c:v>
                </c:pt>
                <c:pt idx="5">
                  <c:v>0.30099999999999999</c:v>
                </c:pt>
                <c:pt idx="6">
                  <c:v>0.40699999999999997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8-4A8E-96AB-FA4754C3BB30}"/>
            </c:ext>
          </c:extLst>
        </c:ser>
        <c:ser>
          <c:idx val="1"/>
          <c:order val="2"/>
          <c:tx>
            <c:strRef>
              <c:f>'Papier-Carton'!$B$39</c:f>
              <c:strCache>
                <c:ptCount val="1"/>
                <c:pt idx="0">
                  <c:v>% tonnage recyclé export hors Europe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B08-4D54-9843-3312AF3D6A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'Papier-Carton'!$K$39:$Q$39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0.02</c:v>
                </c:pt>
                <c:pt idx="5">
                  <c:v>4.0000000000000001E-3</c:v>
                </c:pt>
                <c:pt idx="6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8-4A8E-96AB-FA4754C3B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5156168"/>
        <c:axId val="535154992"/>
      </c:barChart>
      <c:catAx>
        <c:axId val="5351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4992"/>
        <c:crosses val="autoZero"/>
        <c:auto val="1"/>
        <c:lblAlgn val="ctr"/>
        <c:lblOffset val="100"/>
        <c:noMultiLvlLbl val="0"/>
      </c:catAx>
      <c:valAx>
        <c:axId val="53515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710377309573811E-3"/>
          <c:y val="0.90364798303422811"/>
          <c:w val="0.98951837786463959"/>
          <c:h val="7.4631724169384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Pourcentage d'unités d'emballages malussées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0531029592864853E-2"/>
          <c:y val="0.15385085188948591"/>
          <c:w val="0.88861588983841477"/>
          <c:h val="0.5859953341718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'Mise sur le marché'!$B$140</c:f>
              <c:strCache>
                <c:ptCount val="1"/>
                <c:pt idx="0">
                  <c:v>% d'unités d'emballages avec malus perturbateur - Citeo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marché'!$I$137:$Q$137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'Mise sur le marché'!$I$140:$Q$140</c:f>
              <c:numCache>
                <c:formatCode>0.00%</c:formatCode>
                <c:ptCount val="9"/>
                <c:pt idx="0">
                  <c:v>1.189869408388881E-3</c:v>
                </c:pt>
                <c:pt idx="1">
                  <c:v>1.189869408388881E-3</c:v>
                </c:pt>
                <c:pt idx="2">
                  <c:v>1.189869408388881E-3</c:v>
                </c:pt>
                <c:pt idx="3">
                  <c:v>1.2999999999999999E-3</c:v>
                </c:pt>
                <c:pt idx="4">
                  <c:v>1.9E-3</c:v>
                </c:pt>
                <c:pt idx="5">
                  <c:v>2.3291009290197467E-3</c:v>
                </c:pt>
                <c:pt idx="6">
                  <c:v>2.2657466810603244E-3</c:v>
                </c:pt>
                <c:pt idx="7">
                  <c:v>1.2949859973773235E-2</c:v>
                </c:pt>
                <c:pt idx="8">
                  <c:v>1.5088766935460136E-2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9-4CBF-B53C-91510687883A}"/>
            </c:ext>
          </c:extLst>
        </c:ser>
        <c:ser>
          <c:idx val="1"/>
          <c:order val="1"/>
          <c:tx>
            <c:strRef>
              <c:f>'Mise sur le marché'!$B$141</c:f>
              <c:strCache>
                <c:ptCount val="1"/>
                <c:pt idx="0">
                  <c:v>% d'unités d'emballages avec autres malus - Citeo</c:v>
                </c:pt>
              </c:strCache>
            </c:strRef>
          </c:tx>
          <c:spPr>
            <a:solidFill>
              <a:srgbClr val="FF9F9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marché'!$I$137:$Q$137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'Mise sur le marché'!$I$141:$Q$141</c:f>
              <c:numCache>
                <c:formatCode>0.00%</c:formatCode>
                <c:ptCount val="9"/>
                <c:pt idx="0">
                  <c:v>2.184367115387284E-4</c:v>
                </c:pt>
                <c:pt idx="1">
                  <c:v>1E-4</c:v>
                </c:pt>
                <c:pt idx="2">
                  <c:v>1E-4</c:v>
                </c:pt>
                <c:pt idx="3">
                  <c:v>1E-4</c:v>
                </c:pt>
                <c:pt idx="4">
                  <c:v>4.0000000000000002E-4</c:v>
                </c:pt>
                <c:pt idx="5">
                  <c:v>6.4611763858380582E-4</c:v>
                </c:pt>
                <c:pt idx="6">
                  <c:v>6.9590352534706847E-4</c:v>
                </c:pt>
                <c:pt idx="7">
                  <c:v>3.2865209645348726E-4</c:v>
                </c:pt>
                <c:pt idx="8">
                  <c:v>5.1978583890083046E-4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9-4CBF-B53C-91510687883A}"/>
            </c:ext>
          </c:extLst>
        </c:ser>
        <c:ser>
          <c:idx val="2"/>
          <c:order val="2"/>
          <c:tx>
            <c:strRef>
              <c:f>'Mise sur le marché'!$B$151</c:f>
              <c:strCache>
                <c:ptCount val="1"/>
                <c:pt idx="0">
                  <c:v>% d'unités d'emballages avec malus perturbateur - Léko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marché'!$I$137:$Q$137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'Mise sur le marché'!$I$151:$Q$151</c:f>
              <c:numCache>
                <c:formatCode>#,##0</c:formatCode>
                <c:ptCount val="9"/>
                <c:pt idx="7" formatCode="0.00%">
                  <c:v>0</c:v>
                </c:pt>
                <c:pt idx="8" formatCode="0.00%">
                  <c:v>4.2622023238093082E-2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F4-4242-93D2-4F9EF2A1B828}"/>
            </c:ext>
          </c:extLst>
        </c:ser>
        <c:ser>
          <c:idx val="3"/>
          <c:order val="3"/>
          <c:tx>
            <c:strRef>
              <c:f>'Mise sur le marché'!$B$152</c:f>
              <c:strCache>
                <c:ptCount val="1"/>
                <c:pt idx="0">
                  <c:v>% d'unités d'emballages avec autres malus - Léko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marché'!$I$137:$Q$137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'Mise sur le marché'!$I$152:$Q$152</c:f>
              <c:numCache>
                <c:formatCode>#,##0</c:formatCode>
                <c:ptCount val="9"/>
                <c:pt idx="7" formatCode="0.00%">
                  <c:v>0</c:v>
                </c:pt>
                <c:pt idx="8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F4-4242-93D2-4F9EF2A1B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773752"/>
        <c:axId val="424775320"/>
      </c:barChart>
      <c:catAx>
        <c:axId val="42477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4775320"/>
        <c:crosses val="autoZero"/>
        <c:auto val="1"/>
        <c:lblAlgn val="ctr"/>
        <c:lblOffset val="100"/>
        <c:noMultiLvlLbl val="0"/>
      </c:catAx>
      <c:valAx>
        <c:axId val="42477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4773752"/>
        <c:crosses val="autoZero"/>
        <c:crossBetween val="between"/>
        <c:majorUnit val="1.5000000000000003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27662442464643E-2"/>
          <c:y val="0.86636486284992631"/>
          <c:w val="0.97544409237768481"/>
          <c:h val="0.13363513715007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% des tonnages recyclés selon la destination - PCNC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0574483163680986E-2"/>
          <c:y val="0.14522989162955433"/>
          <c:w val="0.95885103367263802"/>
          <c:h val="0.7108478464498074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'Papier-Carton'!$B$29</c:f>
              <c:strCache>
                <c:ptCount val="1"/>
                <c:pt idx="0">
                  <c:v>% tonnage recyclé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'Papier-Carton'!$K$23:$Q$23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'Papier-Carton'!$K$29:$Q$29</c:f>
              <c:numCache>
                <c:formatCode>0%</c:formatCode>
                <c:ptCount val="7"/>
                <c:pt idx="0">
                  <c:v>0.66999999999999993</c:v>
                </c:pt>
                <c:pt idx="1">
                  <c:v>0.67</c:v>
                </c:pt>
                <c:pt idx="2">
                  <c:v>0.69</c:v>
                </c:pt>
                <c:pt idx="3">
                  <c:v>0.69</c:v>
                </c:pt>
                <c:pt idx="4">
                  <c:v>0.72</c:v>
                </c:pt>
                <c:pt idx="5">
                  <c:v>0.71899999999999997</c:v>
                </c:pt>
                <c:pt idx="6">
                  <c:v>0.72199999999999998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9-4B45-8E81-4F698203E83B}"/>
            </c:ext>
          </c:extLst>
        </c:ser>
        <c:ser>
          <c:idx val="0"/>
          <c:order val="1"/>
          <c:tx>
            <c:strRef>
              <c:f>'Papier-Carton'!$B$30</c:f>
              <c:strCache>
                <c:ptCount val="1"/>
                <c:pt idx="0">
                  <c:v>% tonnage recyclé export Europe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'Papier-Carton'!$K$23:$Q$23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'Papier-Carton'!$K$30:$Q$30</c:f>
              <c:numCache>
                <c:formatCode>0%</c:formatCode>
                <c:ptCount val="7"/>
                <c:pt idx="0">
                  <c:v>0.27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0.31</c:v>
                </c:pt>
                <c:pt idx="4">
                  <c:v>0.27</c:v>
                </c:pt>
                <c:pt idx="5">
                  <c:v>0.253</c:v>
                </c:pt>
                <c:pt idx="6">
                  <c:v>0.26700000000000002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A-4D10-8D63-7B2BFDC88B39}"/>
            </c:ext>
          </c:extLst>
        </c:ser>
        <c:ser>
          <c:idx val="1"/>
          <c:order val="2"/>
          <c:tx>
            <c:strRef>
              <c:f>'Papier-Carton'!$B$31</c:f>
              <c:strCache>
                <c:ptCount val="1"/>
                <c:pt idx="0">
                  <c:v>% tonnage recyclé export hors Europe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'Papier-Carton'!$K$23:$Q$23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'Papier-Carton'!$K$31:$Q$31</c:f>
              <c:numCache>
                <c:formatCode>0%</c:formatCode>
                <c:ptCount val="7"/>
                <c:pt idx="0">
                  <c:v>0.06</c:v>
                </c:pt>
                <c:pt idx="1">
                  <c:v>0.04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  <c:pt idx="5">
                  <c:v>2.8000000000000001E-2</c:v>
                </c:pt>
                <c:pt idx="6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1A-4D10-8D63-7B2BFDC88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5158912"/>
        <c:axId val="535159304"/>
      </c:barChart>
      <c:catAx>
        <c:axId val="5351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9304"/>
        <c:crosses val="autoZero"/>
        <c:auto val="1"/>
        <c:lblAlgn val="ctr"/>
        <c:lblOffset val="100"/>
        <c:noMultiLvlLbl val="0"/>
      </c:catAx>
      <c:valAx>
        <c:axId val="53515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266367759281452E-2"/>
          <c:y val="0.93135482538486858"/>
          <c:w val="0.97473363224071852"/>
          <c:h val="6.6634605420667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Répartition du tonnage par option de reprise - PCM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'Papier-Carton'!$B$34</c:f>
              <c:strCache>
                <c:ptCount val="1"/>
                <c:pt idx="0">
                  <c:v>    % tonnage option filière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'Papier-Carton'!$N$23:$Q$23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'Papier-Carton'!$N$42:$Q$42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F-4DBE-A22F-AFD1092BBD80}"/>
            </c:ext>
          </c:extLst>
        </c:ser>
        <c:ser>
          <c:idx val="1"/>
          <c:order val="1"/>
          <c:tx>
            <c:strRef>
              <c:f>'Papier-Carton'!$B$43</c:f>
              <c:strCache>
                <c:ptCount val="1"/>
                <c:pt idx="0">
                  <c:v>    % tonnage option fédérations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2.51823239914183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6F-4AEE-842F-7AC8C432DDA2}"/>
                </c:ext>
              </c:extLst>
            </c:dLbl>
            <c:dLbl>
              <c:idx val="3"/>
              <c:layout>
                <c:manualLayout>
                  <c:x val="-1.339213152781174E-16"/>
                  <c:y val="-3.2315119630968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86-4471-AF18-E6BAB1ACD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'Papier-Carton'!$N$23:$Q$23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'Papier-Carton'!$N$43:$Q$43</c:f>
              <c:numCache>
                <c:formatCode>0%</c:formatCode>
                <c:ptCount val="4"/>
                <c:pt idx="0">
                  <c:v>0.16</c:v>
                </c:pt>
                <c:pt idx="1">
                  <c:v>5.9525930516286497E-2</c:v>
                </c:pt>
                <c:pt idx="2">
                  <c:v>7.0000000000000001E-3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F-4DBE-A22F-AFD1092BBD80}"/>
            </c:ext>
          </c:extLst>
        </c:ser>
        <c:ser>
          <c:idx val="2"/>
          <c:order val="2"/>
          <c:tx>
            <c:strRef>
              <c:f>'Papier-Carton'!$B$36</c:f>
              <c:strCache>
                <c:ptCount val="1"/>
                <c:pt idx="0">
                  <c:v>    % tonnage option individuelle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'Papier-Carton'!$N$23:$Q$23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'Papier-Carton'!$N$44:$Q$44</c:f>
              <c:numCache>
                <c:formatCode>0%</c:formatCode>
                <c:ptCount val="4"/>
                <c:pt idx="0">
                  <c:v>0.84</c:v>
                </c:pt>
                <c:pt idx="1">
                  <c:v>0.94047406948371359</c:v>
                </c:pt>
                <c:pt idx="2">
                  <c:v>0.99299999999999999</c:v>
                </c:pt>
                <c:pt idx="3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2F-4DBE-A22F-AFD1092BBD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5159696"/>
        <c:axId val="535160872"/>
      </c:barChart>
      <c:catAx>
        <c:axId val="53515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60872"/>
        <c:crosses val="autoZero"/>
        <c:auto val="1"/>
        <c:lblAlgn val="ctr"/>
        <c:lblOffset val="100"/>
        <c:noMultiLvlLbl val="0"/>
      </c:catAx>
      <c:valAx>
        <c:axId val="5351608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5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25306465184483E-2"/>
          <c:y val="0.89761425033506315"/>
          <c:w val="0.92154919421203496"/>
          <c:h val="8.0255633702096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% des tonnages recyclés selon la destination - PCM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'Papier-Carton'!$B$45</c:f>
              <c:strCache>
                <c:ptCount val="1"/>
                <c:pt idx="0">
                  <c:v>% tonnage recyclé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'Papier-Carton'!$N$4:$Q$4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'Papier-Carton'!$N$45:$Q$45</c:f>
              <c:numCache>
                <c:formatCode>0%</c:formatCode>
                <c:ptCount val="4"/>
                <c:pt idx="0">
                  <c:v>0.50543971957314926</c:v>
                </c:pt>
                <c:pt idx="1">
                  <c:v>0.52092027550999997</c:v>
                </c:pt>
                <c:pt idx="2">
                  <c:v>0.36499999999999999</c:v>
                </c:pt>
                <c:pt idx="3">
                  <c:v>0.36099999999999999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F-4ECC-BC59-56B4B1A172DE}"/>
            </c:ext>
          </c:extLst>
        </c:ser>
        <c:ser>
          <c:idx val="0"/>
          <c:order val="1"/>
          <c:tx>
            <c:strRef>
              <c:f>'Papier-Carton'!$B$38</c:f>
              <c:strCache>
                <c:ptCount val="1"/>
                <c:pt idx="0">
                  <c:v>% tonnage recyclé export Europe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'Papier-Carton'!$N$4:$Q$4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'Papier-Carton'!$N$46:$Q$46</c:f>
              <c:numCache>
                <c:formatCode>0%</c:formatCode>
                <c:ptCount val="4"/>
                <c:pt idx="0">
                  <c:v>0.48485148603538775</c:v>
                </c:pt>
                <c:pt idx="1">
                  <c:v>0.45900000000000002</c:v>
                </c:pt>
                <c:pt idx="2">
                  <c:v>0.61599999999999999</c:v>
                </c:pt>
                <c:pt idx="3">
                  <c:v>0.59199999999999997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9-4833-B531-A7665F28F3D5}"/>
            </c:ext>
          </c:extLst>
        </c:ser>
        <c:ser>
          <c:idx val="1"/>
          <c:order val="2"/>
          <c:tx>
            <c:strRef>
              <c:f>'Papier-Carton'!$B$39</c:f>
              <c:strCache>
                <c:ptCount val="1"/>
                <c:pt idx="0">
                  <c:v>% tonnage recyclé export hors Europe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9811396806458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26-4C02-B6CD-D4B3735FF867}"/>
                </c:ext>
              </c:extLst>
            </c:dLbl>
            <c:dLbl>
              <c:idx val="1"/>
              <c:layout>
                <c:manualLayout>
                  <c:x val="-1.8691591536035255E-3"/>
                  <c:y val="-3.40701677788094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26-4C02-B6CD-D4B3735FF867}"/>
                </c:ext>
              </c:extLst>
            </c:dLbl>
            <c:dLbl>
              <c:idx val="3"/>
              <c:layout>
                <c:manualLayout>
                  <c:x val="0"/>
                  <c:y val="-3.272078010004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1F-4B91-A534-AAF100913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'Papier-Carton'!$N$4:$Q$4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'Papier-Carton'!$N$47:$Q$47</c:f>
              <c:numCache>
                <c:formatCode>0%</c:formatCode>
                <c:ptCount val="4"/>
                <c:pt idx="0">
                  <c:v>9.708794391462985E-3</c:v>
                </c:pt>
                <c:pt idx="1">
                  <c:v>1.9E-2</c:v>
                </c:pt>
                <c:pt idx="2">
                  <c:v>1.9E-2</c:v>
                </c:pt>
                <c:pt idx="3">
                  <c:v>4.8000000000000001E-2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9-4833-B531-A7665F28F3D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535161264"/>
        <c:axId val="535161656"/>
      </c:barChart>
      <c:catAx>
        <c:axId val="53516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61656"/>
        <c:crosses val="autoZero"/>
        <c:auto val="1"/>
        <c:lblAlgn val="ctr"/>
        <c:lblOffset val="100"/>
        <c:noMultiLvlLbl val="0"/>
      </c:catAx>
      <c:valAx>
        <c:axId val="53516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516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tonnages contribuants et recyclage matière et du taux de recyclage de plastique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Plastique!$B$7</c:f>
              <c:strCache>
                <c:ptCount val="1"/>
                <c:pt idx="0">
                  <c:v>Tonnage contribuant 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Plastique!$E$7:$Q$7</c:f>
              <c:numCache>
                <c:formatCode>0</c:formatCode>
                <c:ptCount val="13"/>
                <c:pt idx="0">
                  <c:v>1031.837298224789</c:v>
                </c:pt>
                <c:pt idx="1">
                  <c:v>1060.7585587498932</c:v>
                </c:pt>
                <c:pt idx="2">
                  <c:v>1066.4541444084578</c:v>
                </c:pt>
                <c:pt idx="3">
                  <c:v>1080.5776774125461</c:v>
                </c:pt>
                <c:pt idx="4">
                  <c:v>1088.6322801038104</c:v>
                </c:pt>
                <c:pt idx="5">
                  <c:v>1104.5364889099308</c:v>
                </c:pt>
                <c:pt idx="6">
                  <c:v>1125.0732427571127</c:v>
                </c:pt>
                <c:pt idx="7">
                  <c:v>1147.1218005760795</c:v>
                </c:pt>
                <c:pt idx="8">
                  <c:v>1170.1908711714614</c:v>
                </c:pt>
                <c:pt idx="9">
                  <c:v>1165.352623552508</c:v>
                </c:pt>
                <c:pt idx="10">
                  <c:v>1165.4659999999999</c:v>
                </c:pt>
                <c:pt idx="11">
                  <c:v>1184.0108599999999</c:v>
                </c:pt>
                <c:pt idx="12">
                  <c:v>1187.1427020000001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F-4E37-896E-E6E03DB397C7}"/>
            </c:ext>
          </c:extLst>
        </c:ser>
        <c:ser>
          <c:idx val="1"/>
          <c:order val="1"/>
          <c:tx>
            <c:strRef>
              <c:f>Plastique!$B$10</c:f>
              <c:strCache>
                <c:ptCount val="1"/>
                <c:pt idx="0">
                  <c:v>Tonnage recyclé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Plastique!$E$10:$Q$10</c:f>
              <c:numCache>
                <c:formatCode>#,##0</c:formatCode>
                <c:ptCount val="13"/>
                <c:pt idx="0">
                  <c:v>226.224278</c:v>
                </c:pt>
                <c:pt idx="1">
                  <c:v>230.45970499999999</c:v>
                </c:pt>
                <c:pt idx="2">
                  <c:v>233.79793299999966</c:v>
                </c:pt>
                <c:pt idx="3">
                  <c:v>244.08526200000003</c:v>
                </c:pt>
                <c:pt idx="4">
                  <c:v>252.22768899999966</c:v>
                </c:pt>
                <c:pt idx="5">
                  <c:v>256.44872499999957</c:v>
                </c:pt>
                <c:pt idx="6">
                  <c:v>266.70146199999999</c:v>
                </c:pt>
                <c:pt idx="7">
                  <c:v>280.54104499999994</c:v>
                </c:pt>
                <c:pt idx="8">
                  <c:v>299.4483469999995</c:v>
                </c:pt>
                <c:pt idx="9">
                  <c:v>313.07214535648529</c:v>
                </c:pt>
                <c:pt idx="10">
                  <c:v>323.75180089999998</c:v>
                </c:pt>
                <c:pt idx="11">
                  <c:v>330.42416889588549</c:v>
                </c:pt>
                <c:pt idx="12">
                  <c:v>356.9418300089535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F-4E37-896E-E6E03DB3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23744"/>
        <c:axId val="536026096"/>
      </c:barChart>
      <c:lineChart>
        <c:grouping val="standard"/>
        <c:varyColors val="0"/>
        <c:ser>
          <c:idx val="2"/>
          <c:order val="2"/>
          <c:tx>
            <c:strRef>
              <c:f>Plastique!$B$38</c:f>
              <c:strCache>
                <c:ptCount val="1"/>
                <c:pt idx="0">
                  <c:v>Taux de recyclage 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986898991406621E-3"/>
                  <c:y val="-4.9180186612883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FE-4F0D-94BB-5C6B47D62A33}"/>
                </c:ext>
              </c:extLst>
            </c:dLbl>
            <c:dLbl>
              <c:idx val="1"/>
              <c:layout>
                <c:manualLayout>
                  <c:x val="-1.356002922089024E-2"/>
                  <c:y val="-5.2827886580083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FE-4F0D-94BB-5C6B47D62A33}"/>
                </c:ext>
              </c:extLst>
            </c:dLbl>
            <c:dLbl>
              <c:idx val="2"/>
              <c:layout>
                <c:manualLayout>
                  <c:x val="-1.3560029220890273E-2"/>
                  <c:y val="-4.9180186612883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FE-4F0D-94BB-5C6B47D62A33}"/>
                </c:ext>
              </c:extLst>
            </c:dLbl>
            <c:dLbl>
              <c:idx val="3"/>
              <c:layout>
                <c:manualLayout>
                  <c:x val="-8.2003338766648282E-3"/>
                  <c:y val="-4.9180186612883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FE-4F0D-94BB-5C6B47D62A33}"/>
                </c:ext>
              </c:extLst>
            </c:dLbl>
            <c:dLbl>
              <c:idx val="4"/>
              <c:layout>
                <c:manualLayout>
                  <c:x val="-9.986898991406621E-3"/>
                  <c:y val="-4.9180186612883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FE-4F0D-94BB-5C6B47D62A33}"/>
                </c:ext>
              </c:extLst>
            </c:dLbl>
            <c:dLbl>
              <c:idx val="5"/>
              <c:layout>
                <c:manualLayout>
                  <c:x val="-1.3560029220890207E-2"/>
                  <c:y val="-4.9180186612883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FE-4F0D-94BB-5C6B47D62A33}"/>
                </c:ext>
              </c:extLst>
            </c:dLbl>
            <c:dLbl>
              <c:idx val="6"/>
              <c:layout>
                <c:manualLayout>
                  <c:x val="-9.9868989914066869E-3"/>
                  <c:y val="-4.9180186612883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FE-4F0D-94BB-5C6B47D62A33}"/>
                </c:ext>
              </c:extLst>
            </c:dLbl>
            <c:dLbl>
              <c:idx val="7"/>
              <c:layout>
                <c:manualLayout>
                  <c:x val="-1.1773464106148414E-2"/>
                  <c:y val="-4.9180186612883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FE-4F0D-94BB-5C6B47D62A33}"/>
                </c:ext>
              </c:extLst>
            </c:dLbl>
            <c:dLbl>
              <c:idx val="8"/>
              <c:layout>
                <c:manualLayout>
                  <c:x val="-1.5346594335631999E-2"/>
                  <c:y val="-4.553248664568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FE-4F0D-94BB-5C6B47D62A33}"/>
                </c:ext>
              </c:extLst>
            </c:dLbl>
            <c:dLbl>
              <c:idx val="9"/>
              <c:layout>
                <c:manualLayout>
                  <c:x val="-1.5337731847267532E-2"/>
                  <c:y val="-4.9180186612883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FE-4F0D-94BB-5C6B47D62A33}"/>
                </c:ext>
              </c:extLst>
            </c:dLbl>
            <c:dLbl>
              <c:idx val="10"/>
              <c:layout>
                <c:manualLayout>
                  <c:x val="-1.5346594335632131E-2"/>
                  <c:y val="-4.1884786678484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FE-4F0D-94BB-5C6B47D62A33}"/>
                </c:ext>
              </c:extLst>
            </c:dLbl>
            <c:dLbl>
              <c:idx val="12"/>
              <c:layout>
                <c:manualLayout>
                  <c:x val="-1.1773464106148414E-2"/>
                  <c:y val="-3.8237086711285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65-4921-8A16-A7E23D90A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Plastique!$E$38:$Q$38</c:f>
              <c:numCache>
                <c:formatCode>0%</c:formatCode>
                <c:ptCount val="13"/>
                <c:pt idx="0">
                  <c:v>0.21924413702548318</c:v>
                </c:pt>
                <c:pt idx="1">
                  <c:v>0.21725934059075364</c:v>
                </c:pt>
                <c:pt idx="2">
                  <c:v>0.21922924133759453</c:v>
                </c:pt>
                <c:pt idx="3">
                  <c:v>0.22588404989492711</c:v>
                </c:pt>
                <c:pt idx="4">
                  <c:v>0.23169227443443766</c:v>
                </c:pt>
                <c:pt idx="5">
                  <c:v>0.23217768500621408</c:v>
                </c:pt>
                <c:pt idx="6">
                  <c:v>0.23705253299458037</c:v>
                </c:pt>
                <c:pt idx="7">
                  <c:v>0.24456081722020578</c:v>
                </c:pt>
                <c:pt idx="8">
                  <c:v>0.25589701165607798</c:v>
                </c:pt>
                <c:pt idx="9">
                  <c:v>0.26865013990538206</c:v>
                </c:pt>
                <c:pt idx="10">
                  <c:v>0.27778742657443461</c:v>
                </c:pt>
                <c:pt idx="11">
                  <c:v>0.27907190724237574</c:v>
                </c:pt>
                <c:pt idx="12">
                  <c:v>0.30067306096192764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FF-4E37-896E-E6E03DB3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21000"/>
        <c:axId val="536027664"/>
      </c:lineChart>
      <c:catAx>
        <c:axId val="5360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6096"/>
        <c:crosses val="autoZero"/>
        <c:auto val="1"/>
        <c:lblAlgn val="ctr"/>
        <c:lblOffset val="100"/>
        <c:noMultiLvlLbl val="0"/>
      </c:catAx>
      <c:valAx>
        <c:axId val="53602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3744"/>
        <c:crosses val="autoZero"/>
        <c:crossBetween val="between"/>
        <c:majorUnit val="300"/>
      </c:valAx>
      <c:valAx>
        <c:axId val="5360276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1000"/>
        <c:crosses val="max"/>
        <c:crossBetween val="between"/>
        <c:majorUnit val="0.2"/>
      </c:valAx>
      <c:catAx>
        <c:axId val="536021000"/>
        <c:scaling>
          <c:orientation val="minMax"/>
        </c:scaling>
        <c:delete val="1"/>
        <c:axPos val="b"/>
        <c:majorTickMark val="out"/>
        <c:minorTickMark val="none"/>
        <c:tickLblPos val="nextTo"/>
        <c:crossAx val="536027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éco-contributions totales et moyennes pour le plastique (M€ et 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Plastique!$E$64:$Q$64</c:f>
              <c:numCache>
                <c:formatCode>#\ ##0.0</c:formatCode>
                <c:ptCount val="13"/>
                <c:pt idx="0">
                  <c:v>249.95933051754395</c:v>
                </c:pt>
                <c:pt idx="1">
                  <c:v>322</c:v>
                </c:pt>
                <c:pt idx="2">
                  <c:v>351</c:v>
                </c:pt>
                <c:pt idx="3">
                  <c:v>380</c:v>
                </c:pt>
                <c:pt idx="4">
                  <c:v>391</c:v>
                </c:pt>
                <c:pt idx="5">
                  <c:v>394.02833739754016</c:v>
                </c:pt>
                <c:pt idx="6">
                  <c:v>386</c:v>
                </c:pt>
                <c:pt idx="7">
                  <c:v>376</c:v>
                </c:pt>
                <c:pt idx="8">
                  <c:v>298.74097873484828</c:v>
                </c:pt>
                <c:pt idx="9">
                  <c:v>336.88820020458303</c:v>
                </c:pt>
                <c:pt idx="10">
                  <c:v>365.78542815331411</c:v>
                </c:pt>
                <c:pt idx="11">
                  <c:v>387.40063571882041</c:v>
                </c:pt>
                <c:pt idx="12">
                  <c:v>425.6558956092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A-4F45-92CE-AC0F60435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21784"/>
        <c:axId val="536026488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Plastique!$E$65:$Q$65</c:f>
              <c:numCache>
                <c:formatCode>#\ ##0.0</c:formatCode>
                <c:ptCount val="13"/>
                <c:pt idx="0">
                  <c:v>242.24684545478556</c:v>
                </c:pt>
                <c:pt idx="1">
                  <c:v>303.55635346414539</c:v>
                </c:pt>
                <c:pt idx="2">
                  <c:v>329.12807535170037</c:v>
                </c:pt>
                <c:pt idx="3">
                  <c:v>351.66375166097612</c:v>
                </c:pt>
                <c:pt idx="4">
                  <c:v>359.1662741827891</c:v>
                </c:pt>
                <c:pt idx="5">
                  <c:v>356.73636982912848</c:v>
                </c:pt>
                <c:pt idx="6">
                  <c:v>343.08877442864571</c:v>
                </c:pt>
                <c:pt idx="7">
                  <c:v>327.77687583931754</c:v>
                </c:pt>
                <c:pt idx="8">
                  <c:v>255.29252201034774</c:v>
                </c:pt>
                <c:pt idx="9">
                  <c:v>289.08691961202214</c:v>
                </c:pt>
                <c:pt idx="10">
                  <c:v>313.85336693933084</c:v>
                </c:pt>
                <c:pt idx="11">
                  <c:v>327.19348175473698</c:v>
                </c:pt>
                <c:pt idx="12">
                  <c:v>358.55495290674833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A-4F45-92CE-AC0F60435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24136"/>
        <c:axId val="536028448"/>
      </c:lineChart>
      <c:catAx>
        <c:axId val="53602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6488"/>
        <c:crosses val="autoZero"/>
        <c:auto val="1"/>
        <c:lblAlgn val="ctr"/>
        <c:lblOffset val="100"/>
        <c:noMultiLvlLbl val="0"/>
      </c:catAx>
      <c:valAx>
        <c:axId val="53602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1784"/>
        <c:crosses val="autoZero"/>
        <c:crossBetween val="between"/>
        <c:majorUnit val="100"/>
      </c:valAx>
      <c:valAx>
        <c:axId val="53602844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4136"/>
        <c:crosses val="max"/>
        <c:crossBetween val="between"/>
        <c:majorUnit val="100"/>
      </c:valAx>
      <c:catAx>
        <c:axId val="536024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028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 sz="1400" b="0"/>
              <a:t>Prix de reprise par standard - Plastique (€/t)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7789729398664648E-2"/>
          <c:y val="0.16351589384660253"/>
          <c:w val="0.90702947334032791"/>
          <c:h val="0.72501603966170891"/>
        </c:manualLayout>
      </c:layout>
      <c:lineChart>
        <c:grouping val="standard"/>
        <c:varyColors val="0"/>
        <c:ser>
          <c:idx val="0"/>
          <c:order val="0"/>
          <c:tx>
            <c:strRef>
              <c:f>Plastique!$B$68</c:f>
              <c:strCache>
                <c:ptCount val="1"/>
                <c:pt idx="0">
                  <c:v>Prix de reprise CS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5400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Plastique!$E$4:$Q$4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Plastique!$E$68:$Q$68</c:f>
              <c:numCache>
                <c:formatCode>#,##0</c:formatCode>
                <c:ptCount val="13"/>
                <c:pt idx="0">
                  <c:v>89</c:v>
                </c:pt>
                <c:pt idx="1">
                  <c:v>194</c:v>
                </c:pt>
                <c:pt idx="2">
                  <c:v>379</c:v>
                </c:pt>
                <c:pt idx="3">
                  <c:v>317</c:v>
                </c:pt>
                <c:pt idx="4">
                  <c:v>284</c:v>
                </c:pt>
                <c:pt idx="5">
                  <c:v>255.6</c:v>
                </c:pt>
                <c:pt idx="6">
                  <c:v>211.8</c:v>
                </c:pt>
                <c:pt idx="7">
                  <c:v>188</c:v>
                </c:pt>
                <c:pt idx="8">
                  <c:v>158</c:v>
                </c:pt>
                <c:pt idx="9">
                  <c:v>200.3</c:v>
                </c:pt>
                <c:pt idx="10">
                  <c:v>202.3</c:v>
                </c:pt>
                <c:pt idx="11">
                  <c:v>118.1</c:v>
                </c:pt>
                <c:pt idx="12">
                  <c:v>236.85551988395193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9-44E8-ADDF-D405CAA01D5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6021392"/>
        <c:axId val="536028056"/>
      </c:lineChart>
      <c:catAx>
        <c:axId val="53602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8056"/>
        <c:crosses val="autoZero"/>
        <c:auto val="1"/>
        <c:lblAlgn val="ctr"/>
        <c:lblOffset val="100"/>
        <c:noMultiLvlLbl val="0"/>
      </c:catAx>
      <c:valAx>
        <c:axId val="53602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1392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charges affectables totales et moyennes pour le plastique (M€ et 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Plastique!$E$66:$Q$66</c:f>
              <c:numCache>
                <c:formatCode>#\ ##0.0</c:formatCode>
                <c:ptCount val="13"/>
                <c:pt idx="0">
                  <c:v>171.89284619000003</c:v>
                </c:pt>
                <c:pt idx="1">
                  <c:v>173.90899999999999</c:v>
                </c:pt>
                <c:pt idx="2">
                  <c:v>195</c:v>
                </c:pt>
                <c:pt idx="3">
                  <c:v>214</c:v>
                </c:pt>
                <c:pt idx="4">
                  <c:v>214</c:v>
                </c:pt>
                <c:pt idx="5">
                  <c:v>200</c:v>
                </c:pt>
                <c:pt idx="6">
                  <c:v>216.29999999999998</c:v>
                </c:pt>
                <c:pt idx="7">
                  <c:v>257.72095898000003</c:v>
                </c:pt>
                <c:pt idx="8">
                  <c:v>261.8</c:v>
                </c:pt>
                <c:pt idx="9">
                  <c:v>257.5</c:v>
                </c:pt>
                <c:pt idx="10">
                  <c:v>263.156897458613</c:v>
                </c:pt>
                <c:pt idx="11">
                  <c:v>269.08921189260849</c:v>
                </c:pt>
                <c:pt idx="12">
                  <c:v>299.43900913343265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9-4D5F-B862-3B3FFB404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26880"/>
        <c:axId val="536029624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Plastique!$E$67:$Q$67</c:f>
              <c:numCache>
                <c:formatCode>#\ ##0.0</c:formatCode>
                <c:ptCount val="13"/>
                <c:pt idx="0">
                  <c:v>166.58909935290268</c:v>
                </c:pt>
                <c:pt idx="1">
                  <c:v>163.94776979688217</c:v>
                </c:pt>
                <c:pt idx="2">
                  <c:v>182.84893075094465</c:v>
                </c:pt>
                <c:pt idx="3">
                  <c:v>198.04221804065497</c:v>
                </c:pt>
                <c:pt idx="4">
                  <c:v>196.57693778802266</c:v>
                </c:pt>
                <c:pt idx="5">
                  <c:v>181.07142861109133</c:v>
                </c:pt>
                <c:pt idx="6">
                  <c:v>192.25415002309862</c:v>
                </c:pt>
                <c:pt idx="7">
                  <c:v>224.66747545951415</c:v>
                </c:pt>
                <c:pt idx="8">
                  <c:v>223.72418589961805</c:v>
                </c:pt>
                <c:pt idx="9">
                  <c:v>220.96316153219496</c:v>
                </c:pt>
                <c:pt idx="10">
                  <c:v>225.79543071922564</c:v>
                </c:pt>
                <c:pt idx="11">
                  <c:v>227.26920924746292</c:v>
                </c:pt>
                <c:pt idx="12">
                  <c:v>252.23505870773795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9-4D5F-B862-3B3FFB404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27272"/>
        <c:axId val="536030800"/>
      </c:lineChart>
      <c:catAx>
        <c:axId val="53602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9624"/>
        <c:crosses val="autoZero"/>
        <c:auto val="1"/>
        <c:lblAlgn val="ctr"/>
        <c:lblOffset val="100"/>
        <c:noMultiLvlLbl val="0"/>
      </c:catAx>
      <c:valAx>
        <c:axId val="53602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6880"/>
        <c:crosses val="autoZero"/>
        <c:crossBetween val="between"/>
      </c:valAx>
      <c:valAx>
        <c:axId val="536030800"/>
        <c:scaling>
          <c:orientation val="minMax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7272"/>
        <c:crosses val="max"/>
        <c:crossBetween val="between"/>
      </c:valAx>
      <c:catAx>
        <c:axId val="53602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030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Répartition du tonnage par option de reprise - Bouteilles et flacons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Plastique!$B$45</c:f>
              <c:strCache>
                <c:ptCount val="1"/>
                <c:pt idx="0">
                  <c:v>    % tonnage option filière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Plastique!$K$42:$Q$42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Plastique!$K$45:$Q$45</c:f>
              <c:numCache>
                <c:formatCode>0%</c:formatCode>
                <c:ptCount val="7"/>
                <c:pt idx="0">
                  <c:v>0.49</c:v>
                </c:pt>
                <c:pt idx="1">
                  <c:v>0.49</c:v>
                </c:pt>
                <c:pt idx="2">
                  <c:v>0.52</c:v>
                </c:pt>
                <c:pt idx="3">
                  <c:v>0.48</c:v>
                </c:pt>
                <c:pt idx="4">
                  <c:v>0.4</c:v>
                </c:pt>
                <c:pt idx="5">
                  <c:v>0.374</c:v>
                </c:pt>
                <c:pt idx="6">
                  <c:v>0.32900000000000001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0-4F00-B16A-2D510CBC31FC}"/>
            </c:ext>
          </c:extLst>
        </c:ser>
        <c:ser>
          <c:idx val="1"/>
          <c:order val="1"/>
          <c:tx>
            <c:strRef>
              <c:f>Plastique!$B$46</c:f>
              <c:strCache>
                <c:ptCount val="1"/>
                <c:pt idx="0">
                  <c:v>    % tonnage option fédérations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Plastique!$K$42:$Q$42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Plastique!$K$46:$Q$46</c:f>
              <c:numCache>
                <c:formatCode>0%</c:formatCode>
                <c:ptCount val="7"/>
                <c:pt idx="0">
                  <c:v>0.48</c:v>
                </c:pt>
                <c:pt idx="1">
                  <c:v>0.48</c:v>
                </c:pt>
                <c:pt idx="2">
                  <c:v>0.43</c:v>
                </c:pt>
                <c:pt idx="3">
                  <c:v>0.48</c:v>
                </c:pt>
                <c:pt idx="4">
                  <c:v>0.53</c:v>
                </c:pt>
                <c:pt idx="5">
                  <c:v>0.54200000000000004</c:v>
                </c:pt>
                <c:pt idx="6">
                  <c:v>0.57299999999999995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0-4F00-B16A-2D510CBC31FC}"/>
            </c:ext>
          </c:extLst>
        </c:ser>
        <c:ser>
          <c:idx val="2"/>
          <c:order val="2"/>
          <c:tx>
            <c:strRef>
              <c:f>Plastique!$B$47</c:f>
              <c:strCache>
                <c:ptCount val="1"/>
                <c:pt idx="0">
                  <c:v>    % tonnage option individuelle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Plastique!$K$42:$Q$42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Plastique!$K$47:$Q$47</c:f>
              <c:numCache>
                <c:formatCode>0%</c:formatCode>
                <c:ptCount val="7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8.4000000000000005E-2</c:v>
                </c:pt>
                <c:pt idx="6">
                  <c:v>9.8000000000000004E-2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0-4F00-B16A-2D510CBC3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024528"/>
        <c:axId val="536022568"/>
      </c:barChart>
      <c:catAx>
        <c:axId val="53602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2568"/>
        <c:crosses val="autoZero"/>
        <c:auto val="1"/>
        <c:lblAlgn val="ctr"/>
        <c:lblOffset val="100"/>
        <c:noMultiLvlLbl val="0"/>
      </c:catAx>
      <c:valAx>
        <c:axId val="536022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25367450526384E-2"/>
          <c:y val="0.91423301176585137"/>
          <c:w val="0.92154919421203496"/>
          <c:h val="7.9798641469384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% des tonnages recyclés selon la destination - Bouteilles et flacons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0517565503466104E-2"/>
          <c:y val="0.20540444407247771"/>
          <c:w val="0.95896486899306776"/>
          <c:h val="0.6280325085635375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Plastique!$B$48</c:f>
              <c:strCache>
                <c:ptCount val="1"/>
                <c:pt idx="0">
                  <c:v>% tonnage recyclé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Plastique!$K$42:$Q$42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Plastique!$K$48:$Q$48</c:f>
              <c:numCache>
                <c:formatCode>0%</c:formatCode>
                <c:ptCount val="7"/>
                <c:pt idx="0">
                  <c:v>0.78500000000000003</c:v>
                </c:pt>
                <c:pt idx="1">
                  <c:v>0.79699999999999993</c:v>
                </c:pt>
                <c:pt idx="2">
                  <c:v>0.71</c:v>
                </c:pt>
                <c:pt idx="3">
                  <c:v>0.73</c:v>
                </c:pt>
                <c:pt idx="4">
                  <c:v>0.78</c:v>
                </c:pt>
                <c:pt idx="5">
                  <c:v>0.74399999999999999</c:v>
                </c:pt>
                <c:pt idx="6">
                  <c:v>0.747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4-45F2-9647-18C7BA9B2A0F}"/>
            </c:ext>
          </c:extLst>
        </c:ser>
        <c:ser>
          <c:idx val="0"/>
          <c:order val="1"/>
          <c:tx>
            <c:strRef>
              <c:f>Plastique!$B$49</c:f>
              <c:strCache>
                <c:ptCount val="1"/>
                <c:pt idx="0">
                  <c:v>% tonnage recyclé export Europe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Plastique!$K$42:$Q$42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Plastique!$K$49:$Q$49</c:f>
              <c:numCache>
                <c:formatCode>0%</c:formatCode>
                <c:ptCount val="7"/>
                <c:pt idx="0">
                  <c:v>0.20499999999999999</c:v>
                </c:pt>
                <c:pt idx="1">
                  <c:v>0.19700000000000001</c:v>
                </c:pt>
                <c:pt idx="2">
                  <c:v>0.27</c:v>
                </c:pt>
                <c:pt idx="3">
                  <c:v>0.26</c:v>
                </c:pt>
                <c:pt idx="4">
                  <c:v>0.22</c:v>
                </c:pt>
                <c:pt idx="5">
                  <c:v>0.253</c:v>
                </c:pt>
                <c:pt idx="6">
                  <c:v>0.251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9-4914-A84A-B4E16C953DBF}"/>
            </c:ext>
          </c:extLst>
        </c:ser>
        <c:ser>
          <c:idx val="1"/>
          <c:order val="2"/>
          <c:tx>
            <c:strRef>
              <c:f>Plastique!$B$50</c:f>
              <c:strCache>
                <c:ptCount val="1"/>
                <c:pt idx="0">
                  <c:v>% tonnage recyclé export hors Europe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Plastique!$K$42:$Q$42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Plastique!$K$50:$Q$50</c:f>
              <c:numCache>
                <c:formatCode>0%</c:formatCode>
                <c:ptCount val="7"/>
                <c:pt idx="0">
                  <c:v>0.01</c:v>
                </c:pt>
                <c:pt idx="1">
                  <c:v>6.0000000000000001E-3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  <c:pt idx="5">
                  <c:v>3.0000000000000001E-3</c:v>
                </c:pt>
                <c:pt idx="6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9-4914-A84A-B4E16C953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030016"/>
        <c:axId val="536023352"/>
      </c:barChart>
      <c:catAx>
        <c:axId val="5360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3352"/>
        <c:crosses val="autoZero"/>
        <c:auto val="1"/>
        <c:lblAlgn val="ctr"/>
        <c:lblOffset val="100"/>
        <c:noMultiLvlLbl val="0"/>
      </c:catAx>
      <c:valAx>
        <c:axId val="53602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3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172776407002691E-2"/>
          <c:y val="0.91912556338475215"/>
          <c:w val="0.97282722359299734"/>
          <c:h val="6.6539934461988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Répartition du tonnage par option de reprise - Plastique 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Plastique!$B$53</c:f>
              <c:strCache>
                <c:ptCount val="1"/>
                <c:pt idx="0">
                  <c:v>    % tonnage option filière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Plastique!$O$42:$Q$42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Plastique!$O$53:$Q$53</c:f>
              <c:numCache>
                <c:formatCode>0%</c:formatCode>
                <c:ptCount val="3"/>
                <c:pt idx="0">
                  <c:v>0.56999999999999995</c:v>
                </c:pt>
                <c:pt idx="1">
                  <c:v>0.54400000000000004</c:v>
                </c:pt>
                <c:pt idx="2">
                  <c:v>0.58899999999999997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F-45FA-A01B-77AE6F11437B}"/>
            </c:ext>
          </c:extLst>
        </c:ser>
        <c:ser>
          <c:idx val="1"/>
          <c:order val="1"/>
          <c:tx>
            <c:strRef>
              <c:f>Plastique!$B$54</c:f>
              <c:strCache>
                <c:ptCount val="1"/>
                <c:pt idx="0">
                  <c:v>    % tonnage option fédérations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Plastique!$O$42:$Q$42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Plastique!$O$54:$Q$54</c:f>
              <c:numCache>
                <c:formatCode>0%</c:formatCode>
                <c:ptCount val="3"/>
                <c:pt idx="0">
                  <c:v>0.43</c:v>
                </c:pt>
                <c:pt idx="1">
                  <c:v>0.41899999999999998</c:v>
                </c:pt>
                <c:pt idx="2">
                  <c:v>0.40400000000000003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F-45FA-A01B-77AE6F11437B}"/>
            </c:ext>
          </c:extLst>
        </c:ser>
        <c:ser>
          <c:idx val="2"/>
          <c:order val="2"/>
          <c:tx>
            <c:strRef>
              <c:f>Plastique!$B$55</c:f>
              <c:strCache>
                <c:ptCount val="1"/>
                <c:pt idx="0">
                  <c:v>    % tonnage option individuelle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Plastique!$O$42:$Q$42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Plastique!$O$55:$Q$55</c:f>
              <c:numCache>
                <c:formatCode>0%</c:formatCode>
                <c:ptCount val="3"/>
                <c:pt idx="0">
                  <c:v>0</c:v>
                </c:pt>
                <c:pt idx="1">
                  <c:v>1.0999999999999999E-2</c:v>
                </c:pt>
                <c:pt idx="2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F-45FA-A01B-77AE6F1143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6024528"/>
        <c:axId val="536022568"/>
      </c:barChart>
      <c:catAx>
        <c:axId val="53602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2568"/>
        <c:crosses val="autoZero"/>
        <c:auto val="1"/>
        <c:lblAlgn val="ctr"/>
        <c:lblOffset val="100"/>
        <c:noMultiLvlLbl val="0"/>
      </c:catAx>
      <c:valAx>
        <c:axId val="536022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25367450526384E-2"/>
          <c:y val="0.91423301176585137"/>
          <c:w val="0.92154919421203496"/>
          <c:h val="7.9798641469384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Pourcentage d'unités d'emballages bonussées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0220622422197227E-2"/>
          <c:y val="0.15455658236685604"/>
          <c:w val="0.89882699662542187"/>
          <c:h val="0.57855207582903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'Mise sur le marché'!$B$142</c:f>
              <c:strCache>
                <c:ptCount val="1"/>
                <c:pt idx="0">
                  <c:v>% d'unités d'emballages avec bonus sensibilisation - Citeo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marché'!$I$137:$Q$137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'Mise sur le marché'!$I$142:$Q$142</c:f>
              <c:numCache>
                <c:formatCode>0.0%</c:formatCode>
                <c:ptCount val="9"/>
                <c:pt idx="0">
                  <c:v>0.18612474707624221</c:v>
                </c:pt>
                <c:pt idx="1">
                  <c:v>0.36299999999999999</c:v>
                </c:pt>
                <c:pt idx="2">
                  <c:v>0.48880000000000001</c:v>
                </c:pt>
                <c:pt idx="3">
                  <c:v>0.61019999999999996</c:v>
                </c:pt>
                <c:pt idx="4">
                  <c:v>0.56820000000000004</c:v>
                </c:pt>
                <c:pt idx="5">
                  <c:v>0.59203684935048961</c:v>
                </c:pt>
                <c:pt idx="6">
                  <c:v>0.5807727043850105</c:v>
                </c:pt>
                <c:pt idx="7">
                  <c:v>0.62470992426530292</c:v>
                </c:pt>
                <c:pt idx="8">
                  <c:v>0.63421491849651102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B-448A-807E-C712EA26380E}"/>
            </c:ext>
          </c:extLst>
        </c:ser>
        <c:ser>
          <c:idx val="1"/>
          <c:order val="1"/>
          <c:tx>
            <c:strRef>
              <c:f>'Mise sur le marché'!$B$143</c:f>
              <c:strCache>
                <c:ptCount val="1"/>
                <c:pt idx="0">
                  <c:v>% d'unités d'emballages avec bonus réduction à la source - Citeo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marché'!$I$137:$Q$137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'Mise sur le marché'!$I$143:$Q$143</c:f>
              <c:numCache>
                <c:formatCode>0.0%</c:formatCode>
                <c:ptCount val="9"/>
                <c:pt idx="0">
                  <c:v>1.1961251083212113E-2</c:v>
                </c:pt>
                <c:pt idx="1">
                  <c:v>2.3099999999999999E-2</c:v>
                </c:pt>
                <c:pt idx="2">
                  <c:v>1.54E-2</c:v>
                </c:pt>
                <c:pt idx="3">
                  <c:v>1.7899999999999999E-2</c:v>
                </c:pt>
                <c:pt idx="4">
                  <c:v>1.8200000000000001E-2</c:v>
                </c:pt>
                <c:pt idx="5">
                  <c:v>3.3689814807634111E-2</c:v>
                </c:pt>
                <c:pt idx="6">
                  <c:v>3.671923285259087E-2</c:v>
                </c:pt>
                <c:pt idx="7">
                  <c:v>5.81252614397815E-2</c:v>
                </c:pt>
                <c:pt idx="8">
                  <c:v>2.0989948723197916E-2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B-448A-807E-C712EA26380E}"/>
            </c:ext>
          </c:extLst>
        </c:ser>
        <c:ser>
          <c:idx val="2"/>
          <c:order val="2"/>
          <c:tx>
            <c:strRef>
              <c:f>'Mise sur le marché'!$B$144</c:f>
              <c:strCache>
                <c:ptCount val="1"/>
                <c:pt idx="0">
                  <c:v>% d'unités d'emballages avec primes - Citeo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marché'!$I$137:$Q$137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'Mise sur le marché'!$I$144:$Q$144</c:f>
              <c:numCache>
                <c:formatCode>0.0%</c:formatCode>
                <c:ptCount val="9"/>
                <c:pt idx="6">
                  <c:v>2.7823003484093748E-3</c:v>
                </c:pt>
                <c:pt idx="7">
                  <c:v>3.8245845210696148E-3</c:v>
                </c:pt>
                <c:pt idx="8">
                  <c:v>6.7679864909409443E-2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F-421A-956D-6D16171E98C5}"/>
            </c:ext>
          </c:extLst>
        </c:ser>
        <c:ser>
          <c:idx val="3"/>
          <c:order val="3"/>
          <c:tx>
            <c:strRef>
              <c:f>'Mise sur le marché'!$B$153</c:f>
              <c:strCache>
                <c:ptCount val="1"/>
                <c:pt idx="0">
                  <c:v>% d'unités d'emballages avec bonus sensibilisation - Léko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marché'!$I$137:$Q$137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'Mise sur le marché'!$I$153:$Q$153</c:f>
              <c:numCache>
                <c:formatCode>#,##0</c:formatCode>
                <c:ptCount val="9"/>
                <c:pt idx="7" formatCode="0.0%">
                  <c:v>3.4524861294883157E-2</c:v>
                </c:pt>
                <c:pt idx="8" formatCode="0.0%">
                  <c:v>0.44422844577613291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F-421A-956D-6D16171E98C5}"/>
            </c:ext>
          </c:extLst>
        </c:ser>
        <c:ser>
          <c:idx val="4"/>
          <c:order val="4"/>
          <c:tx>
            <c:strRef>
              <c:f>'Mise sur le marché'!$B$154</c:f>
              <c:strCache>
                <c:ptCount val="1"/>
                <c:pt idx="0">
                  <c:v>% d'unités d'emballages avec bonus réduction à la source - Léko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marché'!$I$137:$Q$137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'Mise sur le marché'!$I$154:$Q$154</c:f>
              <c:numCache>
                <c:formatCode>#,##0</c:formatCode>
                <c:ptCount val="9"/>
                <c:pt idx="7" formatCode="0.0%">
                  <c:v>0</c:v>
                </c:pt>
                <c:pt idx="8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9F-421A-956D-6D16171E98C5}"/>
            </c:ext>
          </c:extLst>
        </c:ser>
        <c:ser>
          <c:idx val="5"/>
          <c:order val="5"/>
          <c:tx>
            <c:strRef>
              <c:f>'Mise sur le marché'!$B$155</c:f>
              <c:strCache>
                <c:ptCount val="1"/>
                <c:pt idx="0">
                  <c:v>% d'unités d'emballages avec primes - Léko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marché'!$I$137:$Q$137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'Mise sur le marché'!$I$155:$Q$155</c:f>
              <c:numCache>
                <c:formatCode>#,##0</c:formatCode>
                <c:ptCount val="9"/>
                <c:pt idx="7" formatCode="0.0%">
                  <c:v>0</c:v>
                </c:pt>
                <c:pt idx="8" formatCode="0.0%">
                  <c:v>2.3776609841189268E-2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9F-421A-956D-6D16171E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770224"/>
        <c:axId val="424776888"/>
      </c:barChart>
      <c:catAx>
        <c:axId val="4247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4776888"/>
        <c:crosses val="autoZero"/>
        <c:auto val="1"/>
        <c:lblAlgn val="ctr"/>
        <c:lblOffset val="100"/>
        <c:noMultiLvlLbl val="0"/>
      </c:catAx>
      <c:valAx>
        <c:axId val="42477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4770224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519275131579134E-3"/>
          <c:y val="0.83462678295296222"/>
          <c:w val="0.99584807248684215"/>
          <c:h val="0.16537319487594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% des tonnages recyclés selon la destination - Plastique 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0517565503466104E-2"/>
          <c:y val="0.13269119231438348"/>
          <c:w val="0.95896486899306776"/>
          <c:h val="0.7101852971868898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Plastique!$B$56</c:f>
              <c:strCache>
                <c:ptCount val="1"/>
                <c:pt idx="0">
                  <c:v>% tonnage recyclé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Plastique!$N$56:$Q$56</c15:sqref>
                  </c15:fullRef>
                </c:ext>
              </c:extLst>
              <c:f>Plastique!$O$56:$Q$56</c:f>
              <c:numCache>
                <c:formatCode>0%</c:formatCode>
                <c:ptCount val="3"/>
                <c:pt idx="0">
                  <c:v>0.7</c:v>
                </c:pt>
                <c:pt idx="1">
                  <c:v>0.63500000000000001</c:v>
                </c:pt>
                <c:pt idx="2">
                  <c:v>0.64500000000000002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5-47D6-AD89-384FC0FC37B5}"/>
            </c:ext>
          </c:extLst>
        </c:ser>
        <c:ser>
          <c:idx val="0"/>
          <c:order val="1"/>
          <c:tx>
            <c:strRef>
              <c:f>Plastique!$B$57</c:f>
              <c:strCache>
                <c:ptCount val="1"/>
                <c:pt idx="0">
                  <c:v>% tonnage recyclé export Europe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Plastique!$N$42:$O$42</c15:sqref>
                  </c15:fullRef>
                </c:ext>
              </c:extLst>
              <c:f>Plastique!$O$42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Plastique!$N$57:$Q$57</c15:sqref>
                  </c15:fullRef>
                </c:ext>
              </c:extLst>
              <c:f>Plastique!$O$57:$Q$57</c:f>
              <c:numCache>
                <c:formatCode>0%</c:formatCode>
                <c:ptCount val="3"/>
                <c:pt idx="0">
                  <c:v>0.3</c:v>
                </c:pt>
                <c:pt idx="1">
                  <c:v>0.32500000000000001</c:v>
                </c:pt>
                <c:pt idx="2">
                  <c:v>0.34300000000000003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5-47D6-AD89-384FC0FC37B5}"/>
            </c:ext>
          </c:extLst>
        </c:ser>
        <c:ser>
          <c:idx val="1"/>
          <c:order val="2"/>
          <c:tx>
            <c:strRef>
              <c:f>Plastique!$B$58</c:f>
              <c:strCache>
                <c:ptCount val="1"/>
                <c:pt idx="0">
                  <c:v>% tonnage recyclé export hors Europe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Plastique!$N$42:$O$42</c15:sqref>
                  </c15:fullRef>
                </c:ext>
              </c:extLst>
              <c:f>Plastique!$O$42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Plastique!$N$58:$Q$58</c15:sqref>
                  </c15:fullRef>
                </c:ext>
              </c:extLst>
              <c:f>Plastique!$O$58:$Q$58</c:f>
              <c:numCache>
                <c:formatCode>0%</c:formatCode>
                <c:ptCount val="3"/>
                <c:pt idx="0">
                  <c:v>0</c:v>
                </c:pt>
                <c:pt idx="1">
                  <c:v>4.1000000000000002E-2</c:v>
                </c:pt>
                <c:pt idx="2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5-47D6-AD89-384FC0FC3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030016"/>
        <c:axId val="536023352"/>
      </c:barChart>
      <c:catAx>
        <c:axId val="5360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3352"/>
        <c:crosses val="autoZero"/>
        <c:auto val="1"/>
        <c:lblAlgn val="ctr"/>
        <c:lblOffset val="100"/>
        <c:noMultiLvlLbl val="0"/>
      </c:catAx>
      <c:valAx>
        <c:axId val="53602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3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81377041475724E-2"/>
          <c:y val="0.91912556338475215"/>
          <c:w val="0.98401862295852416"/>
          <c:h val="7.054871293517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tonnages contribuants et recyclage matière et du taux de recyclage de verre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Verre!$B$7</c:f>
              <c:strCache>
                <c:ptCount val="1"/>
                <c:pt idx="0">
                  <c:v>Tonnage contribuant 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Verre!$E$7:$Q$7</c:f>
              <c:numCache>
                <c:formatCode>#,##0</c:formatCode>
                <c:ptCount val="13"/>
                <c:pt idx="0">
                  <c:v>2393.8319206143901</c:v>
                </c:pt>
                <c:pt idx="1">
                  <c:v>2318.6986288797998</c:v>
                </c:pt>
                <c:pt idx="2">
                  <c:v>2340.9139449149948</c:v>
                </c:pt>
                <c:pt idx="3">
                  <c:v>2296.0544799055378</c:v>
                </c:pt>
                <c:pt idx="4">
                  <c:v>2217.8337300844505</c:v>
                </c:pt>
                <c:pt idx="5">
                  <c:v>2288.7691369610029</c:v>
                </c:pt>
                <c:pt idx="6">
                  <c:v>2329.8879461014176</c:v>
                </c:pt>
                <c:pt idx="7">
                  <c:v>2357.8613443086124</c:v>
                </c:pt>
                <c:pt idx="8">
                  <c:v>2401.4732655922621</c:v>
                </c:pt>
                <c:pt idx="9" formatCode="0">
                  <c:v>2515.8263037172901</c:v>
                </c:pt>
                <c:pt idx="10" formatCode="0">
                  <c:v>2558.8562149999998</c:v>
                </c:pt>
                <c:pt idx="11" formatCode="0">
                  <c:v>2538.3372820000004</c:v>
                </c:pt>
                <c:pt idx="12" formatCode="0">
                  <c:v>2560.1048920000007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E-48EC-A180-1430B1032F36}"/>
            </c:ext>
          </c:extLst>
        </c:ser>
        <c:ser>
          <c:idx val="1"/>
          <c:order val="1"/>
          <c:tx>
            <c:strRef>
              <c:f>Verre!$B$8</c:f>
              <c:strCache>
                <c:ptCount val="1"/>
                <c:pt idx="0">
                  <c:v>Tonnage recyclé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Verre!$E$8:$Q$8</c:f>
              <c:numCache>
                <c:formatCode>#,##0</c:formatCode>
                <c:ptCount val="13"/>
                <c:pt idx="0">
                  <c:v>1895.2861559999999</c:v>
                </c:pt>
                <c:pt idx="1">
                  <c:v>1890.4232360000001</c:v>
                </c:pt>
                <c:pt idx="2">
                  <c:v>1920.7506819999987</c:v>
                </c:pt>
                <c:pt idx="3">
                  <c:v>1909.97468399999</c:v>
                </c:pt>
                <c:pt idx="4">
                  <c:v>1929.8620329999967</c:v>
                </c:pt>
                <c:pt idx="5">
                  <c:v>1948.6192479999995</c:v>
                </c:pt>
                <c:pt idx="6">
                  <c:v>1961.8505169999976</c:v>
                </c:pt>
                <c:pt idx="7">
                  <c:v>2012.817334999999</c:v>
                </c:pt>
                <c:pt idx="8">
                  <c:v>2038.7812309999977</c:v>
                </c:pt>
                <c:pt idx="9" formatCode="0">
                  <c:v>2100.0613484</c:v>
                </c:pt>
                <c:pt idx="10" formatCode="0">
                  <c:v>2149.0565700000002</c:v>
                </c:pt>
                <c:pt idx="11" formatCode="0">
                  <c:v>2211.7780700000003</c:v>
                </c:pt>
                <c:pt idx="12" formatCode="0">
                  <c:v>2252.1257300000002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E-48EC-A180-1430B1032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31192"/>
        <c:axId val="536019040"/>
      </c:barChart>
      <c:lineChart>
        <c:grouping val="standard"/>
        <c:varyColors val="0"/>
        <c:ser>
          <c:idx val="2"/>
          <c:order val="2"/>
          <c:tx>
            <c:strRef>
              <c:f>Verre!$B$13</c:f>
              <c:strCache>
                <c:ptCount val="1"/>
                <c:pt idx="0">
                  <c:v>Taux de recyclage 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Verre!$E$13:$Q$13</c:f>
              <c:numCache>
                <c:formatCode>0%</c:formatCode>
                <c:ptCount val="13"/>
                <c:pt idx="0">
                  <c:v>0.79173735619398222</c:v>
                </c:pt>
                <c:pt idx="1">
                  <c:v>0.81529492986041641</c:v>
                </c:pt>
                <c:pt idx="2">
                  <c:v>0.82051315306669537</c:v>
                </c:pt>
                <c:pt idx="3">
                  <c:v>0.83185076866232222</c:v>
                </c:pt>
                <c:pt idx="4">
                  <c:v>0.87015631822251682</c:v>
                </c:pt>
                <c:pt idx="5">
                  <c:v>0.85138304975020329</c:v>
                </c:pt>
                <c:pt idx="6">
                  <c:v>0.84203642509192167</c:v>
                </c:pt>
                <c:pt idx="7">
                  <c:v>0.85366229861587162</c:v>
                </c:pt>
                <c:pt idx="8">
                  <c:v>0.84897102966381943</c:v>
                </c:pt>
                <c:pt idx="9">
                  <c:v>0.83474019859679049</c:v>
                </c:pt>
                <c:pt idx="10">
                  <c:v>0.83985046029637911</c:v>
                </c:pt>
                <c:pt idx="11">
                  <c:v>0.87134916454337452</c:v>
                </c:pt>
                <c:pt idx="12">
                  <c:v>0.87970056892497028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E-48EC-A180-1430B1032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25704"/>
        <c:axId val="536025312"/>
      </c:lineChart>
      <c:catAx>
        <c:axId val="53603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19040"/>
        <c:crosses val="autoZero"/>
        <c:auto val="1"/>
        <c:lblAlgn val="ctr"/>
        <c:lblOffset val="100"/>
        <c:noMultiLvlLbl val="0"/>
      </c:catAx>
      <c:valAx>
        <c:axId val="53601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31192"/>
        <c:crosses val="autoZero"/>
        <c:crossBetween val="between"/>
      </c:valAx>
      <c:valAx>
        <c:axId val="5360253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25704"/>
        <c:crosses val="max"/>
        <c:crossBetween val="between"/>
        <c:majorUnit val="0.2"/>
      </c:valAx>
      <c:catAx>
        <c:axId val="536025704"/>
        <c:scaling>
          <c:orientation val="minMax"/>
        </c:scaling>
        <c:delete val="1"/>
        <c:axPos val="b"/>
        <c:majorTickMark val="out"/>
        <c:minorTickMark val="none"/>
        <c:tickLblPos val="nextTo"/>
        <c:crossAx val="536025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éco-contributions totales et moyennes pour le verre (M€ et 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Verre!$E$29:$Q$29</c:f>
              <c:numCache>
                <c:formatCode>#\ ##0.0</c:formatCode>
                <c:ptCount val="13"/>
                <c:pt idx="0">
                  <c:v>15.439941745101999</c:v>
                </c:pt>
                <c:pt idx="1">
                  <c:v>19</c:v>
                </c:pt>
                <c:pt idx="2">
                  <c:v>20.399999999999999</c:v>
                </c:pt>
                <c:pt idx="3">
                  <c:v>35</c:v>
                </c:pt>
                <c:pt idx="4">
                  <c:v>34</c:v>
                </c:pt>
                <c:pt idx="5">
                  <c:v>34.112227040018134</c:v>
                </c:pt>
                <c:pt idx="6">
                  <c:v>34</c:v>
                </c:pt>
                <c:pt idx="7">
                  <c:v>33</c:v>
                </c:pt>
                <c:pt idx="8">
                  <c:v>27.801231087144529</c:v>
                </c:pt>
                <c:pt idx="9">
                  <c:v>37.081436639843744</c:v>
                </c:pt>
                <c:pt idx="10">
                  <c:v>32.9821780974492</c:v>
                </c:pt>
                <c:pt idx="11">
                  <c:v>32.29815932084238</c:v>
                </c:pt>
                <c:pt idx="12">
                  <c:v>34.655678718200001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A-47CA-81B6-327003A33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33936"/>
        <c:axId val="536031976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Verre!$E$30:$Q$30</c:f>
              <c:numCache>
                <c:formatCode>#\ ##0.0</c:formatCode>
                <c:ptCount val="13"/>
                <c:pt idx="0">
                  <c:v>6.4498854794864853</c:v>
                </c:pt>
                <c:pt idx="1">
                  <c:v>8.1942516217293839</c:v>
                </c:pt>
                <c:pt idx="2">
                  <c:v>8.7145450366996648</c:v>
                </c:pt>
                <c:pt idx="3">
                  <c:v>15.243540737517664</c:v>
                </c:pt>
                <c:pt idx="4">
                  <c:v>15.330274555209938</c:v>
                </c:pt>
                <c:pt idx="5">
                  <c:v>14.904179931975092</c:v>
                </c:pt>
                <c:pt idx="6">
                  <c:v>14.5929764806466</c:v>
                </c:pt>
                <c:pt idx="7">
                  <c:v>13.995733922037083</c:v>
                </c:pt>
                <c:pt idx="8">
                  <c:v>11.576739781147664</c:v>
                </c:pt>
                <c:pt idx="9">
                  <c:v>14.739267406916611</c:v>
                </c:pt>
                <c:pt idx="10">
                  <c:v>12.889422197350468</c:v>
                </c:pt>
                <c:pt idx="11">
                  <c:v>12.724140148701631</c:v>
                </c:pt>
                <c:pt idx="12">
                  <c:v>13.53681984925483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A-47CA-81B6-327003A33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32368"/>
        <c:axId val="536031584"/>
      </c:lineChart>
      <c:catAx>
        <c:axId val="53603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31976"/>
        <c:crosses val="autoZero"/>
        <c:auto val="1"/>
        <c:lblAlgn val="ctr"/>
        <c:lblOffset val="100"/>
        <c:noMultiLvlLbl val="0"/>
      </c:catAx>
      <c:valAx>
        <c:axId val="53603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33936"/>
        <c:crosses val="autoZero"/>
        <c:crossBetween val="between"/>
        <c:majorUnit val="10"/>
      </c:valAx>
      <c:valAx>
        <c:axId val="5360315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32368"/>
        <c:crosses val="max"/>
        <c:crossBetween val="between"/>
        <c:majorUnit val="4"/>
      </c:valAx>
      <c:catAx>
        <c:axId val="53603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031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/>
              <a:t>Prix de reprise par standard - Verre CS (€/t)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83259640343604E-2"/>
          <c:y val="0.16351589384660253"/>
          <c:w val="0.91598660633555662"/>
          <c:h val="0.74119182211602619"/>
        </c:manualLayout>
      </c:layout>
      <c:lineChart>
        <c:grouping val="standard"/>
        <c:varyColors val="0"/>
        <c:ser>
          <c:idx val="0"/>
          <c:order val="0"/>
          <c:tx>
            <c:strRef>
              <c:f>Verre!$B$33</c:f>
              <c:strCache>
                <c:ptCount val="1"/>
                <c:pt idx="0">
                  <c:v>Prix de reprise CS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5400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Verre!$E$4:$Q$4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Verre!$E$33:$Q$33</c:f>
              <c:numCache>
                <c:formatCode>#\ ##0.0</c:formatCode>
                <c:ptCount val="13"/>
                <c:pt idx="0">
                  <c:v>19.91</c:v>
                </c:pt>
                <c:pt idx="1">
                  <c:v>22.42</c:v>
                </c:pt>
                <c:pt idx="2">
                  <c:v>22.2</c:v>
                </c:pt>
                <c:pt idx="3">
                  <c:v>21.45</c:v>
                </c:pt>
                <c:pt idx="4">
                  <c:v>21.75</c:v>
                </c:pt>
                <c:pt idx="5">
                  <c:v>22.45</c:v>
                </c:pt>
                <c:pt idx="6">
                  <c:v>23.3</c:v>
                </c:pt>
                <c:pt idx="7">
                  <c:v>23.3</c:v>
                </c:pt>
                <c:pt idx="8">
                  <c:v>23.5</c:v>
                </c:pt>
                <c:pt idx="9">
                  <c:v>24.38</c:v>
                </c:pt>
                <c:pt idx="10">
                  <c:v>24.38</c:v>
                </c:pt>
                <c:pt idx="11">
                  <c:v>18.79</c:v>
                </c:pt>
                <c:pt idx="12">
                  <c:v>16.84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D-4802-A99E-E48424038A5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6033152"/>
        <c:axId val="53603354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Verre!#REF!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bg1"/>
                    </a:solidFill>
                    <a:ln w="25400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bg1">
                              <a:lumMod val="50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Verre!$E$4:$Q$4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Verre!#REF!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5ED-4802-A99E-E48424038A5A}"/>
                  </c:ext>
                </c:extLst>
              </c15:ser>
            </c15:filteredLineSeries>
          </c:ext>
        </c:extLst>
      </c:lineChart>
      <c:catAx>
        <c:axId val="5360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33544"/>
        <c:crosses val="autoZero"/>
        <c:auto val="1"/>
        <c:lblAlgn val="ctr"/>
        <c:lblOffset val="100"/>
        <c:noMultiLvlLbl val="0"/>
      </c:catAx>
      <c:valAx>
        <c:axId val="53603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331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Evolution des charges affectables totales et moyennes pour le verre (M€ et €/t)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Verre!$E$31:$Q$31</c:f>
              <c:numCache>
                <c:formatCode>#\ ##0.0</c:formatCode>
                <c:ptCount val="13"/>
                <c:pt idx="0">
                  <c:v>25.222000000000001</c:v>
                </c:pt>
                <c:pt idx="1">
                  <c:v>22.946000000000002</c:v>
                </c:pt>
                <c:pt idx="2">
                  <c:v>27</c:v>
                </c:pt>
                <c:pt idx="3">
                  <c:v>28</c:v>
                </c:pt>
                <c:pt idx="4">
                  <c:v>26</c:v>
                </c:pt>
                <c:pt idx="5">
                  <c:v>27</c:v>
                </c:pt>
                <c:pt idx="6">
                  <c:v>27.7</c:v>
                </c:pt>
                <c:pt idx="7">
                  <c:v>29.151361439999999</c:v>
                </c:pt>
                <c:pt idx="8">
                  <c:v>30.2</c:v>
                </c:pt>
                <c:pt idx="9">
                  <c:v>37.4</c:v>
                </c:pt>
                <c:pt idx="10">
                  <c:v>38.093225180758999</c:v>
                </c:pt>
                <c:pt idx="11">
                  <c:v>41.024715709131421</c:v>
                </c:pt>
                <c:pt idx="12">
                  <c:v>42.362641483043383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2-4B0E-AD4A-980A15BBA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34720"/>
        <c:axId val="537072800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Verre!$E$4:$Q$4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Verre!$E$32:$Q$32</c:f>
              <c:numCache>
                <c:formatCode>#\ ##0.0</c:formatCode>
                <c:ptCount val="13"/>
                <c:pt idx="0">
                  <c:v>10.536245165252303</c:v>
                </c:pt>
                <c:pt idx="1">
                  <c:v>9.8960683006422361</c:v>
                </c:pt>
                <c:pt idx="2">
                  <c:v>11.533956666220146</c:v>
                </c:pt>
                <c:pt idx="3">
                  <c:v>12.194832590014132</c:v>
                </c:pt>
                <c:pt idx="4">
                  <c:v>11.723151130454658</c:v>
                </c:pt>
                <c:pt idx="5">
                  <c:v>11.796733695845898</c:v>
                </c:pt>
                <c:pt idx="6">
                  <c:v>11.888983779820906</c:v>
                </c:pt>
                <c:pt idx="7">
                  <c:v>12.363475702405204</c:v>
                </c:pt>
                <c:pt idx="8">
                  <c:v>12.575613658789552</c:v>
                </c:pt>
                <c:pt idx="9">
                  <c:v>14.865891156610919</c:v>
                </c:pt>
                <c:pt idx="10">
                  <c:v>14.886817382491733</c:v>
                </c:pt>
                <c:pt idx="11">
                  <c:v>16.162042767148474</c:v>
                </c:pt>
                <c:pt idx="12">
                  <c:v>16.54722883246745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2-4B0E-AD4A-980A15BBA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081032"/>
        <c:axId val="537073192"/>
      </c:lineChart>
      <c:catAx>
        <c:axId val="5360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7072800"/>
        <c:crosses val="autoZero"/>
        <c:auto val="1"/>
        <c:lblAlgn val="ctr"/>
        <c:lblOffset val="100"/>
        <c:noMultiLvlLbl val="0"/>
      </c:catAx>
      <c:valAx>
        <c:axId val="53707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6034720"/>
        <c:crosses val="autoZero"/>
        <c:crossBetween val="between"/>
        <c:majorUnit val="10"/>
      </c:valAx>
      <c:valAx>
        <c:axId val="537073192"/>
        <c:scaling>
          <c:orientation val="minMax"/>
          <c:max val="1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7081032"/>
        <c:crosses val="max"/>
        <c:crossBetween val="between"/>
        <c:majorUnit val="4"/>
      </c:valAx>
      <c:catAx>
        <c:axId val="53708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7073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Répartition du tonnage par option de reprise - Verre 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Verre!$B$18</c:f>
              <c:strCache>
                <c:ptCount val="1"/>
                <c:pt idx="0">
                  <c:v>    % tonnage option filière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Verre!$K$15:$Q$15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Verre!$K$18:$Q$18</c:f>
              <c:numCache>
                <c:formatCode>0%</c:formatCode>
                <c:ptCount val="7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 formatCode="0.0%">
                  <c:v>0.98099999999999998</c:v>
                </c:pt>
                <c:pt idx="4" formatCode="0.0%">
                  <c:v>0.98099999999999998</c:v>
                </c:pt>
                <c:pt idx="5" formatCode="0.0%">
                  <c:v>0.98199999999999998</c:v>
                </c:pt>
                <c:pt idx="6" formatCode="0.0%">
                  <c:v>0.98099999999999998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2-4FC2-BE89-D670E405B43F}"/>
            </c:ext>
          </c:extLst>
        </c:ser>
        <c:ser>
          <c:idx val="1"/>
          <c:order val="1"/>
          <c:tx>
            <c:strRef>
              <c:f>Verre!$B$19</c:f>
              <c:strCache>
                <c:ptCount val="1"/>
                <c:pt idx="0">
                  <c:v>    % tonnage option fédérations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5430869376023118E-3"/>
                  <c:y val="6.65462711504202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58-481B-8CEA-FC3B4B57F93A}"/>
                </c:ext>
              </c:extLst>
            </c:dLbl>
            <c:dLbl>
              <c:idx val="1"/>
              <c:layout>
                <c:manualLayout>
                  <c:x val="0"/>
                  <c:y val="3.75324098762448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58-481B-8CEA-FC3B4B57F93A}"/>
                </c:ext>
              </c:extLst>
            </c:dLbl>
            <c:dLbl>
              <c:idx val="2"/>
              <c:layout>
                <c:manualLayout>
                  <c:x val="-6.2552368598241546E-17"/>
                  <c:y val="2.91918743481904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58-481B-8CEA-FC3B4B57F93A}"/>
                </c:ext>
              </c:extLst>
            </c:dLbl>
            <c:dLbl>
              <c:idx val="3"/>
              <c:layout>
                <c:manualLayout>
                  <c:x val="0"/>
                  <c:y val="2.08513388201360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58-481B-8CEA-FC3B4B57F93A}"/>
                </c:ext>
              </c:extLst>
            </c:dLbl>
            <c:dLbl>
              <c:idx val="4"/>
              <c:layout>
                <c:manualLayout>
                  <c:x val="1.7059933965965835E-3"/>
                  <c:y val="2.50216065841632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58-481B-8CEA-FC3B4B57F93A}"/>
                </c:ext>
              </c:extLst>
            </c:dLbl>
            <c:dLbl>
              <c:idx val="6"/>
              <c:layout>
                <c:manualLayout>
                  <c:x val="0"/>
                  <c:y val="2.83255610627725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5-49D4-9519-57E2EF0E7A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Verre!$K$15:$Q$15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Verre!$K$19:$Q$19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%">
                  <c:v>3.0000000000000001E-3</c:v>
                </c:pt>
                <c:pt idx="4" formatCode="0.0%">
                  <c:v>3.0000000000000001E-3</c:v>
                </c:pt>
                <c:pt idx="5" formatCode="0.0%">
                  <c:v>3.0000000000000001E-3</c:v>
                </c:pt>
                <c:pt idx="6" formatCode="0.0%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2-4FC2-BE89-D670E405B43F}"/>
            </c:ext>
          </c:extLst>
        </c:ser>
        <c:ser>
          <c:idx val="2"/>
          <c:order val="2"/>
          <c:tx>
            <c:strRef>
              <c:f>Verre!$B$20</c:f>
              <c:strCache>
                <c:ptCount val="1"/>
                <c:pt idx="0">
                  <c:v>    % tonnage option individuelle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38538698407191E-4"/>
                  <c:y val="-3.00763929867312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58-481B-8CEA-FC3B4B57F93A}"/>
                </c:ext>
              </c:extLst>
            </c:dLbl>
            <c:dLbl>
              <c:idx val="1"/>
              <c:layout>
                <c:manualLayout>
                  <c:x val="-1.7879950352868562E-3"/>
                  <c:y val="-3.29908351356759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58-481B-8CEA-FC3B4B57F93A}"/>
                </c:ext>
              </c:extLst>
            </c:dLbl>
            <c:dLbl>
              <c:idx val="2"/>
              <c:layout>
                <c:manualLayout>
                  <c:x val="-3.494052030373953E-3"/>
                  <c:y val="-3.29908351356759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58-481B-8CEA-FC3B4B57F93A}"/>
                </c:ext>
              </c:extLst>
            </c:dLbl>
            <c:dLbl>
              <c:idx val="3"/>
              <c:layout>
                <c:manualLayout>
                  <c:x val="0"/>
                  <c:y val="-2.91918743481904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58-481B-8CEA-FC3B4B57F93A}"/>
                </c:ext>
              </c:extLst>
            </c:dLbl>
            <c:dLbl>
              <c:idx val="4"/>
              <c:layout>
                <c:manualLayout>
                  <c:x val="0"/>
                  <c:y val="-3.36096004853261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58-481B-8CEA-FC3B4B57F93A}"/>
                </c:ext>
              </c:extLst>
            </c:dLbl>
            <c:dLbl>
              <c:idx val="6"/>
              <c:layout>
                <c:manualLayout>
                  <c:x val="-1.311181212333109E-16"/>
                  <c:y val="-2.83255610627725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5-49D4-9519-57E2EF0E7A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Verre!$K$15:$Q$15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Verre!$K$20:$Q$20</c:f>
              <c:numCache>
                <c:formatCode>0%</c:formatCode>
                <c:ptCount val="7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 formatCode="0.0%">
                  <c:v>1.6E-2</c:v>
                </c:pt>
                <c:pt idx="4" formatCode="0.0%">
                  <c:v>1.6E-2</c:v>
                </c:pt>
                <c:pt idx="5" formatCode="0.0%">
                  <c:v>1.4999999999999999E-2</c:v>
                </c:pt>
                <c:pt idx="6" formatCode="0.0%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2-4FC2-BE89-D670E405B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079072"/>
        <c:axId val="537074368"/>
      </c:barChart>
      <c:catAx>
        <c:axId val="5370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7074368"/>
        <c:crosses val="autoZero"/>
        <c:auto val="1"/>
        <c:lblAlgn val="ctr"/>
        <c:lblOffset val="100"/>
        <c:noMultiLvlLbl val="0"/>
      </c:catAx>
      <c:valAx>
        <c:axId val="5370743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707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25306465184483E-2"/>
          <c:y val="0.90592019171247173"/>
          <c:w val="0.92154919421203496"/>
          <c:h val="7.1949746330819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/>
              <a:t>% des tonnages recyclés selon la destination - Verre 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0531249384576903E-2"/>
          <c:y val="0.14614965301132615"/>
          <c:w val="0.9589375012308462"/>
          <c:h val="0.6630867165059456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Verre!$B$21</c:f>
              <c:strCache>
                <c:ptCount val="1"/>
                <c:pt idx="0">
                  <c:v>% tonnage recyclé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Verre!$K$21:$Q$21</c:f>
              <c:numCache>
                <c:formatCode>0%</c:formatCode>
                <c:ptCount val="7"/>
                <c:pt idx="0">
                  <c:v>0.98</c:v>
                </c:pt>
                <c:pt idx="1">
                  <c:v>0.99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0.96399999999999997</c:v>
                </c:pt>
                <c:pt idx="6">
                  <c:v>0.94799999999999995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6-4A36-9204-D3337191B301}"/>
            </c:ext>
          </c:extLst>
        </c:ser>
        <c:ser>
          <c:idx val="0"/>
          <c:order val="1"/>
          <c:tx>
            <c:strRef>
              <c:f>Verre!$B$22</c:f>
              <c:strCache>
                <c:ptCount val="1"/>
                <c:pt idx="0">
                  <c:v>% tonnage recyclé export Europe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3629266464935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B2-4AE5-A6A4-36093A7E9D46}"/>
                </c:ext>
              </c:extLst>
            </c:dLbl>
            <c:dLbl>
              <c:idx val="1"/>
              <c:layout>
                <c:manualLayout>
                  <c:x val="-6.7570440793787133E-17"/>
                  <c:y val="2.8988645190069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B2-4AE5-A6A4-36093A7E9D46}"/>
                </c:ext>
              </c:extLst>
            </c:dLbl>
            <c:dLbl>
              <c:idx val="2"/>
              <c:layout>
                <c:manualLayout>
                  <c:x val="-6.7570440793787133E-17"/>
                  <c:y val="3.3129880217222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B2-4AE5-A6A4-36093A7E9D46}"/>
                </c:ext>
              </c:extLst>
            </c:dLbl>
            <c:dLbl>
              <c:idx val="3"/>
              <c:layout>
                <c:manualLayout>
                  <c:x val="-1.3514088158757427E-16"/>
                  <c:y val="3.7271115244375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B2-4AE5-A6A4-36093A7E9D46}"/>
                </c:ext>
              </c:extLst>
            </c:dLbl>
            <c:dLbl>
              <c:idx val="4"/>
              <c:layout>
                <c:manualLayout>
                  <c:x val="0"/>
                  <c:y val="3.7271115244375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B2-4AE5-A6A4-36093A7E9D46}"/>
                </c:ext>
              </c:extLst>
            </c:dLbl>
            <c:dLbl>
              <c:idx val="6"/>
              <c:layout>
                <c:manualLayout>
                  <c:x val="-1.3687341472381259E-16"/>
                  <c:y val="4.071113048718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93-4E4A-BF6B-67E8665BA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Verre!$K$15:$O$15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Verre!$K$22:$Q$22</c:f>
              <c:numCache>
                <c:formatCode>0%</c:formatCode>
                <c:ptCount val="7"/>
                <c:pt idx="0">
                  <c:v>0.02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5.1999999999999998E-2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B-4983-A9FC-D970EF129246}"/>
            </c:ext>
          </c:extLst>
        </c:ser>
        <c:ser>
          <c:idx val="1"/>
          <c:order val="2"/>
          <c:tx>
            <c:strRef>
              <c:f>Verre!$B$23</c:f>
              <c:strCache>
                <c:ptCount val="1"/>
                <c:pt idx="0">
                  <c:v>% tonnage recyclé export hors Europe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435376529501344E-3"/>
                  <c:y val="-4.203658308116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B2-4AE5-A6A4-36093A7E9D46}"/>
                </c:ext>
              </c:extLst>
            </c:dLbl>
            <c:dLbl>
              <c:idx val="1"/>
              <c:layout>
                <c:manualLayout>
                  <c:x val="-3.3797799869017323E-17"/>
                  <c:y val="-3.36292664649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B2-4AE5-A6A4-36093A7E9D46}"/>
                </c:ext>
              </c:extLst>
            </c:dLbl>
            <c:dLbl>
              <c:idx val="2"/>
              <c:layout>
                <c:manualLayout>
                  <c:x val="-6.7570440793787133E-17"/>
                  <c:y val="-3.7271115244375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B2-4AE5-A6A4-36093A7E9D46}"/>
                </c:ext>
              </c:extLst>
            </c:dLbl>
            <c:dLbl>
              <c:idx val="3"/>
              <c:layout>
                <c:manualLayout>
                  <c:x val="-1.3514088158757427E-16"/>
                  <c:y val="-3.7271115244375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B2-4AE5-A6A4-36093A7E9D46}"/>
                </c:ext>
              </c:extLst>
            </c:dLbl>
            <c:dLbl>
              <c:idx val="4"/>
              <c:layout>
                <c:manualLayout>
                  <c:x val="-1.8428514919986872E-3"/>
                  <c:y val="-4.5553585298680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B2-4AE5-A6A4-36093A7E9D46}"/>
                </c:ext>
              </c:extLst>
            </c:dLbl>
            <c:dLbl>
              <c:idx val="6"/>
              <c:layout>
                <c:manualLayout>
                  <c:x val="0"/>
                  <c:y val="-3.2568904389749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arianne Light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93-4E4A-BF6B-67E8665BA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Verre!$K$15:$O$15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Verre!$K$23:$Q$23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1.0999999999999999E-2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B-4983-A9FC-D970EF129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7077896"/>
        <c:axId val="537079464"/>
      </c:barChart>
      <c:catAx>
        <c:axId val="53707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7079464"/>
        <c:crosses val="autoZero"/>
        <c:auto val="1"/>
        <c:lblAlgn val="ctr"/>
        <c:lblOffset val="100"/>
        <c:noMultiLvlLbl val="0"/>
      </c:catAx>
      <c:valAx>
        <c:axId val="537079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707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090898322257E-2"/>
          <c:y val="0.90662928476023197"/>
          <c:w val="0.98620790910167777"/>
          <c:h val="7.0862714628974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'Mise sur le marché'!$B$163</c:f>
              <c:strCache>
                <c:ptCount val="1"/>
                <c:pt idx="0">
                  <c:v>Nombre d'entreprises avec accompagnement à l'éco-conception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'Mise sur le marché'!$J$5:$Q$5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'Mise sur le marché'!$J$163:$Q$163</c:f>
              <c:numCache>
                <c:formatCode>0</c:formatCode>
                <c:ptCount val="8"/>
                <c:pt idx="0">
                  <c:v>123</c:v>
                </c:pt>
                <c:pt idx="1">
                  <c:v>186</c:v>
                </c:pt>
                <c:pt idx="2">
                  <c:v>158</c:v>
                </c:pt>
                <c:pt idx="4">
                  <c:v>235</c:v>
                </c:pt>
                <c:pt idx="5" formatCode="#,##0">
                  <c:v>522</c:v>
                </c:pt>
                <c:pt idx="6" formatCode="#,##0">
                  <c:v>452</c:v>
                </c:pt>
                <c:pt idx="7" formatCode="#,##0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6-4501-97E0-6DA1ADF092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4774144"/>
        <c:axId val="424769832"/>
      </c:barChart>
      <c:catAx>
        <c:axId val="4247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24769832"/>
        <c:crosses val="autoZero"/>
        <c:auto val="1"/>
        <c:lblAlgn val="ctr"/>
        <c:lblOffset val="100"/>
        <c:noMultiLvlLbl val="0"/>
      </c:catAx>
      <c:valAx>
        <c:axId val="42476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477414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Evolution de la répartition du montant de l'éco-contribution par matériaux hors contribution unitaire (M€)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6919738001501842E-2"/>
          <c:y val="0.22114643959352018"/>
          <c:w val="0.89929722724093475"/>
          <c:h val="0.60863381926851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'Mise sur le marché'!$B$94</c:f>
              <c:strCache>
                <c:ptCount val="1"/>
                <c:pt idx="0">
                  <c:v>Aluminium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marché'!$E$117:$Q$117</c:f>
              <c:numCache>
                <c:formatCode>0%</c:formatCode>
                <c:ptCount val="13"/>
                <c:pt idx="0">
                  <c:v>1.1287237994385703E-2</c:v>
                </c:pt>
                <c:pt idx="1">
                  <c:v>1.1220133407386215E-2</c:v>
                </c:pt>
                <c:pt idx="2">
                  <c:v>1.0277492291880783E-2</c:v>
                </c:pt>
                <c:pt idx="3">
                  <c:v>2.4024024024024024E-2</c:v>
                </c:pt>
                <c:pt idx="4">
                  <c:v>2.6509572901325478E-2</c:v>
                </c:pt>
                <c:pt idx="5">
                  <c:v>3.0746031290463518E-2</c:v>
                </c:pt>
                <c:pt idx="6">
                  <c:v>2.9542097488921712E-2</c:v>
                </c:pt>
                <c:pt idx="7">
                  <c:v>3.0303030303030304E-2</c:v>
                </c:pt>
                <c:pt idx="8">
                  <c:v>1.4716764844691879E-2</c:v>
                </c:pt>
                <c:pt idx="9">
                  <c:v>1.4254358863128152E-2</c:v>
                </c:pt>
                <c:pt idx="10">
                  <c:v>1.4996309607208639E-2</c:v>
                </c:pt>
                <c:pt idx="11">
                  <c:v>1.4999970688813605E-2</c:v>
                </c:pt>
                <c:pt idx="12">
                  <c:v>1.4130612591329059E-2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D-4A9D-97D9-9F5BEEA92348}"/>
            </c:ext>
          </c:extLst>
        </c:ser>
        <c:ser>
          <c:idx val="1"/>
          <c:order val="1"/>
          <c:tx>
            <c:strRef>
              <c:f>'Mise sur le marché'!$B$93</c:f>
              <c:strCache>
                <c:ptCount val="1"/>
                <c:pt idx="0">
                  <c:v>Acier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6777138176906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57-4650-879D-4D4B918EDD4B}"/>
                </c:ext>
              </c:extLst>
            </c:dLbl>
            <c:dLbl>
              <c:idx val="1"/>
              <c:layout>
                <c:manualLayout>
                  <c:x val="0"/>
                  <c:y val="-2.0971422721132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57-4650-879D-4D4B918EDD4B}"/>
                </c:ext>
              </c:extLst>
            </c:dLbl>
            <c:dLbl>
              <c:idx val="2"/>
              <c:layout>
                <c:manualLayout>
                  <c:x val="-3.3162917692562048E-17"/>
                  <c:y val="-2.5165707265359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57-4650-879D-4D4B918EDD4B}"/>
                </c:ext>
              </c:extLst>
            </c:dLbl>
            <c:dLbl>
              <c:idx val="3"/>
              <c:layout>
                <c:manualLayout>
                  <c:x val="0"/>
                  <c:y val="-2.0971422721132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57-4650-879D-4D4B918EDD4B}"/>
                </c:ext>
              </c:extLst>
            </c:dLbl>
            <c:dLbl>
              <c:idx val="4"/>
              <c:layout>
                <c:manualLayout>
                  <c:x val="0"/>
                  <c:y val="-2.5165707265359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57-4650-879D-4D4B918EDD4B}"/>
                </c:ext>
              </c:extLst>
            </c:dLbl>
            <c:dLbl>
              <c:idx val="5"/>
              <c:layout>
                <c:manualLayout>
                  <c:x val="0"/>
                  <c:y val="-2.09714227211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57-4650-879D-4D4B918EDD4B}"/>
                </c:ext>
              </c:extLst>
            </c:dLbl>
            <c:dLbl>
              <c:idx val="6"/>
              <c:layout>
                <c:manualLayout>
                  <c:x val="0"/>
                  <c:y val="-2.0971422721132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57-4650-879D-4D4B918EDD4B}"/>
                </c:ext>
              </c:extLst>
            </c:dLbl>
            <c:dLbl>
              <c:idx val="7"/>
              <c:layout>
                <c:manualLayout>
                  <c:x val="-1.3265167077024819E-16"/>
                  <c:y val="-2.5165707265359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57-4650-879D-4D4B918EDD4B}"/>
                </c:ext>
              </c:extLst>
            </c:dLbl>
            <c:dLbl>
              <c:idx val="8"/>
              <c:layout>
                <c:manualLayout>
                  <c:x val="-1.3265167077024819E-16"/>
                  <c:y val="-2.09714227211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57-4650-879D-4D4B918EDD4B}"/>
                </c:ext>
              </c:extLst>
            </c:dLbl>
            <c:dLbl>
              <c:idx val="9"/>
              <c:layout>
                <c:manualLayout>
                  <c:x val="0"/>
                  <c:y val="-2.0971422721132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57-4650-879D-4D4B918EDD4B}"/>
                </c:ext>
              </c:extLst>
            </c:dLbl>
            <c:dLbl>
              <c:idx val="10"/>
              <c:layout>
                <c:manualLayout>
                  <c:x val="0"/>
                  <c:y val="-2.5165707265359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57-4650-879D-4D4B918EDD4B}"/>
                </c:ext>
              </c:extLst>
            </c:dLbl>
            <c:dLbl>
              <c:idx val="11"/>
              <c:layout>
                <c:manualLayout>
                  <c:x val="0"/>
                  <c:y val="-2.0706976110956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7-47F1-B682-842FA605326A}"/>
                </c:ext>
              </c:extLst>
            </c:dLbl>
            <c:dLbl>
              <c:idx val="12"/>
              <c:layout>
                <c:manualLayout>
                  <c:x val="0"/>
                  <c:y val="-2.7421108022509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69-425E-B941-D1B77F185B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marché'!$E$116:$Q$116</c:f>
              <c:numCache>
                <c:formatCode>0%</c:formatCode>
                <c:ptCount val="13"/>
                <c:pt idx="0">
                  <c:v>2.722630538466829E-2</c:v>
                </c:pt>
                <c:pt idx="1">
                  <c:v>2.571841579196377E-2</c:v>
                </c:pt>
                <c:pt idx="2">
                  <c:v>2.5693730729701953E-2</c:v>
                </c:pt>
                <c:pt idx="3">
                  <c:v>3.1531531531531529E-2</c:v>
                </c:pt>
                <c:pt idx="4">
                  <c:v>2.9455081001472753E-2</c:v>
                </c:pt>
                <c:pt idx="5">
                  <c:v>2.7856924773204984E-2</c:v>
                </c:pt>
                <c:pt idx="6">
                  <c:v>2.6587887740029542E-2</c:v>
                </c:pt>
                <c:pt idx="7">
                  <c:v>2.4242424242424242E-2</c:v>
                </c:pt>
                <c:pt idx="8">
                  <c:v>1.5223632570713934E-2</c:v>
                </c:pt>
                <c:pt idx="9">
                  <c:v>1.9410630298721507E-2</c:v>
                </c:pt>
                <c:pt idx="10">
                  <c:v>1.8378200304863444E-2</c:v>
                </c:pt>
                <c:pt idx="11">
                  <c:v>1.8497643772384054E-2</c:v>
                </c:pt>
                <c:pt idx="12">
                  <c:v>1.6708993506797987E-2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D-4A9D-97D9-9F5BEEA92348}"/>
            </c:ext>
          </c:extLst>
        </c:ser>
        <c:ser>
          <c:idx val="2"/>
          <c:order val="2"/>
          <c:tx>
            <c:strRef>
              <c:f>'Mise sur le marché'!$B$95</c:f>
              <c:strCache>
                <c:ptCount val="1"/>
                <c:pt idx="0">
                  <c:v>Papier/Carton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marché'!$E$118:$Q$118</c:f>
              <c:numCache>
                <c:formatCode>0%</c:formatCode>
                <c:ptCount val="13"/>
                <c:pt idx="0">
                  <c:v>0.32593310162539535</c:v>
                </c:pt>
                <c:pt idx="1">
                  <c:v>0.31977380211050715</c:v>
                </c:pt>
                <c:pt idx="2">
                  <c:v>0.32202809181226449</c:v>
                </c:pt>
                <c:pt idx="3">
                  <c:v>0.30780780780780781</c:v>
                </c:pt>
                <c:pt idx="4">
                  <c:v>0.30338733431516934</c:v>
                </c:pt>
                <c:pt idx="5">
                  <c:v>0.30742105537746006</c:v>
                </c:pt>
                <c:pt idx="6">
                  <c:v>0.3087149187592319</c:v>
                </c:pt>
                <c:pt idx="7">
                  <c:v>0.31212121212121213</c:v>
                </c:pt>
                <c:pt idx="8">
                  <c:v>0.32987433148672241</c:v>
                </c:pt>
                <c:pt idx="9">
                  <c:v>0.29895845442487157</c:v>
                </c:pt>
                <c:pt idx="10">
                  <c:v>0.29275074192298983</c:v>
                </c:pt>
                <c:pt idx="11">
                  <c:v>0.28686320407730231</c:v>
                </c:pt>
                <c:pt idx="12">
                  <c:v>0.2822679038627452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D-4A9D-97D9-9F5BEEA92348}"/>
            </c:ext>
          </c:extLst>
        </c:ser>
        <c:ser>
          <c:idx val="3"/>
          <c:order val="3"/>
          <c:tx>
            <c:strRef>
              <c:f>'Mise sur le marché'!$B$96</c:f>
              <c:strCache>
                <c:ptCount val="1"/>
                <c:pt idx="0">
                  <c:v>Plastique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marché'!$E$119:$Q$119</c:f>
              <c:numCache>
                <c:formatCode>0%</c:formatCode>
                <c:ptCount val="13"/>
                <c:pt idx="0">
                  <c:v>0.59857922656868623</c:v>
                </c:pt>
                <c:pt idx="1">
                  <c:v>0.60214715952972686</c:v>
                </c:pt>
                <c:pt idx="2">
                  <c:v>0.60123329907502576</c:v>
                </c:pt>
                <c:pt idx="3">
                  <c:v>0.57057057057057059</c:v>
                </c:pt>
                <c:pt idx="4">
                  <c:v>0.57584683357879229</c:v>
                </c:pt>
                <c:pt idx="5">
                  <c:v>0.5714617196128261</c:v>
                </c:pt>
                <c:pt idx="6">
                  <c:v>0.57016248153618909</c:v>
                </c:pt>
                <c:pt idx="7">
                  <c:v>0.5696969696969697</c:v>
                </c:pt>
                <c:pt idx="8">
                  <c:v>0.57395840684912758</c:v>
                </c:pt>
                <c:pt idx="9">
                  <c:v>0.58932471483315052</c:v>
                </c:pt>
                <c:pt idx="10">
                  <c:v>0.60330062661371264</c:v>
                </c:pt>
                <c:pt idx="11">
                  <c:v>0.61324642699678045</c:v>
                </c:pt>
                <c:pt idx="12">
                  <c:v>0.61773373837836609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BD-4A9D-97D9-9F5BEEA92348}"/>
            </c:ext>
          </c:extLst>
        </c:ser>
        <c:ser>
          <c:idx val="4"/>
          <c:order val="4"/>
          <c:tx>
            <c:strRef>
              <c:f>'Mise sur le marché'!$B$97</c:f>
              <c:strCache>
                <c:ptCount val="1"/>
                <c:pt idx="0">
                  <c:v>Verre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marché'!$E$5:$Q$5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'Mise sur le marché'!$E$120:$Q$120</c:f>
              <c:numCache>
                <c:formatCode>0%</c:formatCode>
                <c:ptCount val="13"/>
                <c:pt idx="0">
                  <c:v>3.6974128426864442E-2</c:v>
                </c:pt>
                <c:pt idx="1">
                  <c:v>3.5530422456723013E-2</c:v>
                </c:pt>
                <c:pt idx="2">
                  <c:v>3.4943473792394653E-2</c:v>
                </c:pt>
                <c:pt idx="3">
                  <c:v>5.2552552552552555E-2</c:v>
                </c:pt>
                <c:pt idx="4">
                  <c:v>5.0073637702503684E-2</c:v>
                </c:pt>
                <c:pt idx="5">
                  <c:v>4.9473172546075882E-2</c:v>
                </c:pt>
                <c:pt idx="6">
                  <c:v>5.0221565731166914E-2</c:v>
                </c:pt>
                <c:pt idx="7">
                  <c:v>0.05</c:v>
                </c:pt>
                <c:pt idx="8">
                  <c:v>5.3413329402607831E-2</c:v>
                </c:pt>
                <c:pt idx="9">
                  <c:v>6.4867238033593094E-2</c:v>
                </c:pt>
                <c:pt idx="10">
                  <c:v>5.4398472934619246E-2</c:v>
                </c:pt>
                <c:pt idx="11">
                  <c:v>5.112725425792871E-2</c:v>
                </c:pt>
                <c:pt idx="12">
                  <c:v>5.0294104208269221E-2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67BD-4A9D-97D9-9F5BEEA923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25620152"/>
        <c:axId val="425622112"/>
      </c:barChart>
      <c:catAx>
        <c:axId val="42562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5622112"/>
        <c:crosses val="autoZero"/>
        <c:auto val="1"/>
        <c:lblAlgn val="ctr"/>
        <c:lblOffset val="100"/>
        <c:noMultiLvlLbl val="0"/>
      </c:catAx>
      <c:valAx>
        <c:axId val="4256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2562015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859476505797257E-2"/>
          <c:y val="0.91626584369661646"/>
          <c:w val="0.87155614088178168"/>
          <c:h val="6.888765474625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2">
              <a:lumMod val="50000"/>
            </a:schemeClr>
          </a:solidFill>
          <a:latin typeface="Marianne Light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10" Type="http://schemas.openxmlformats.org/officeDocument/2006/relationships/chart" Target="../charts/chart62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0.xml"/><Relationship Id="rId3" Type="http://schemas.openxmlformats.org/officeDocument/2006/relationships/chart" Target="../charts/chart65.xml"/><Relationship Id="rId7" Type="http://schemas.openxmlformats.org/officeDocument/2006/relationships/chart" Target="../charts/chart69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6" Type="http://schemas.openxmlformats.org/officeDocument/2006/relationships/chart" Target="../charts/chart68.xml"/><Relationship Id="rId5" Type="http://schemas.openxmlformats.org/officeDocument/2006/relationships/chart" Target="../charts/chart67.xml"/><Relationship Id="rId4" Type="http://schemas.openxmlformats.org/officeDocument/2006/relationships/chart" Target="../charts/chart6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603178</xdr:colOff>
      <xdr:row>0</xdr:row>
      <xdr:rowOff>97117</xdr:rowOff>
    </xdr:from>
    <xdr:to>
      <xdr:col>2</xdr:col>
      <xdr:colOff>622003</xdr:colOff>
      <xdr:row>4</xdr:row>
      <xdr:rowOff>77574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531" y="97117"/>
          <a:ext cx="818178" cy="959104"/>
        </a:xfrm>
        <a:prstGeom prst="rect">
          <a:avLst/>
        </a:prstGeom>
      </xdr:spPr>
    </xdr:pic>
    <xdr:clientData/>
  </xdr:twoCellAnchor>
  <xdr:twoCellAnchor editAs="oneCell">
    <xdr:from>
      <xdr:col>0</xdr:col>
      <xdr:colOff>162858</xdr:colOff>
      <xdr:row>0</xdr:row>
      <xdr:rowOff>45572</xdr:rowOff>
    </xdr:from>
    <xdr:to>
      <xdr:col>1</xdr:col>
      <xdr:colOff>510147</xdr:colOff>
      <xdr:row>4</xdr:row>
      <xdr:rowOff>125358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58" y="45572"/>
          <a:ext cx="1146642" cy="1058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99786</xdr:colOff>
      <xdr:row>0</xdr:row>
      <xdr:rowOff>108856</xdr:rowOff>
    </xdr:from>
    <xdr:to>
      <xdr:col>26</xdr:col>
      <xdr:colOff>721119</xdr:colOff>
      <xdr:row>9</xdr:row>
      <xdr:rowOff>176432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80398</xdr:colOff>
      <xdr:row>10</xdr:row>
      <xdr:rowOff>117961</xdr:rowOff>
    </xdr:from>
    <xdr:to>
      <xdr:col>26</xdr:col>
      <xdr:colOff>674022</xdr:colOff>
      <xdr:row>21</xdr:row>
      <xdr:rowOff>133120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165592</xdr:colOff>
      <xdr:row>58</xdr:row>
      <xdr:rowOff>176409</xdr:rowOff>
    </xdr:from>
    <xdr:to>
      <xdr:col>27</xdr:col>
      <xdr:colOff>608</xdr:colOff>
      <xdr:row>91</xdr:row>
      <xdr:rowOff>10548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141382</xdr:colOff>
      <xdr:row>23</xdr:row>
      <xdr:rowOff>44523</xdr:rowOff>
    </xdr:from>
    <xdr:to>
      <xdr:col>26</xdr:col>
      <xdr:colOff>735006</xdr:colOff>
      <xdr:row>36</xdr:row>
      <xdr:rowOff>112058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107613</xdr:colOff>
      <xdr:row>10</xdr:row>
      <xdr:rowOff>115693</xdr:rowOff>
    </xdr:from>
    <xdr:to>
      <xdr:col>35</xdr:col>
      <xdr:colOff>701237</xdr:colOff>
      <xdr:row>21</xdr:row>
      <xdr:rowOff>130852</xdr:rowOff>
    </xdr:to>
    <xdr:graphicFrame macro="">
      <xdr:nvGraphicFramePr>
        <xdr:cNvPr id="30" name="Graphiqu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275168</xdr:colOff>
      <xdr:row>121</xdr:row>
      <xdr:rowOff>66287</xdr:rowOff>
    </xdr:from>
    <xdr:to>
      <xdr:col>27</xdr:col>
      <xdr:colOff>97107</xdr:colOff>
      <xdr:row>138</xdr:row>
      <xdr:rowOff>310064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250825</xdr:colOff>
      <xdr:row>121</xdr:row>
      <xdr:rowOff>62450</xdr:rowOff>
    </xdr:from>
    <xdr:to>
      <xdr:col>36</xdr:col>
      <xdr:colOff>95342</xdr:colOff>
      <xdr:row>138</xdr:row>
      <xdr:rowOff>364437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600876</xdr:colOff>
      <xdr:row>142</xdr:row>
      <xdr:rowOff>153005</xdr:rowOff>
    </xdr:from>
    <xdr:to>
      <xdr:col>27</xdr:col>
      <xdr:colOff>436490</xdr:colOff>
      <xdr:row>152</xdr:row>
      <xdr:rowOff>180068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351972</xdr:colOff>
      <xdr:row>134</xdr:row>
      <xdr:rowOff>181882</xdr:rowOff>
    </xdr:from>
    <xdr:to>
      <xdr:col>19</xdr:col>
      <xdr:colOff>274452</xdr:colOff>
      <xdr:row>135</xdr:row>
      <xdr:rowOff>1026</xdr:rowOff>
    </xdr:to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8710431" y="17626985"/>
          <a:ext cx="718405" cy="1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n.a</a:t>
          </a:r>
        </a:p>
      </xdr:txBody>
    </xdr:sp>
    <xdr:clientData/>
  </xdr:twoCellAnchor>
  <xdr:twoCellAnchor>
    <xdr:from>
      <xdr:col>18</xdr:col>
      <xdr:colOff>7711</xdr:colOff>
      <xdr:row>134</xdr:row>
      <xdr:rowOff>178254</xdr:rowOff>
    </xdr:from>
    <xdr:to>
      <xdr:col>18</xdr:col>
      <xdr:colOff>725301</xdr:colOff>
      <xdr:row>134</xdr:row>
      <xdr:rowOff>181883</xdr:rowOff>
    </xdr:to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8366170" y="17623357"/>
          <a:ext cx="717590" cy="3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n.a</a:t>
          </a:r>
        </a:p>
      </xdr:txBody>
    </xdr:sp>
    <xdr:clientData/>
  </xdr:twoCellAnchor>
  <xdr:twoCellAnchor>
    <xdr:from>
      <xdr:col>27</xdr:col>
      <xdr:colOff>397483</xdr:colOff>
      <xdr:row>92</xdr:row>
      <xdr:rowOff>144165</xdr:rowOff>
    </xdr:from>
    <xdr:to>
      <xdr:col>36</xdr:col>
      <xdr:colOff>257682</xdr:colOff>
      <xdr:row>119</xdr:row>
      <xdr:rowOff>40821</xdr:rowOff>
    </xdr:to>
    <xdr:graphicFrame macro="">
      <xdr:nvGraphicFramePr>
        <xdr:cNvPr id="265" name="Graphiqu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339518</xdr:colOff>
      <xdr:row>9</xdr:row>
      <xdr:rowOff>13301</xdr:rowOff>
    </xdr:from>
    <xdr:to>
      <xdr:col>42</xdr:col>
      <xdr:colOff>86559</xdr:colOff>
      <xdr:row>23</xdr:row>
      <xdr:rowOff>26430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487412</xdr:colOff>
      <xdr:row>80</xdr:row>
      <xdr:rowOff>8091</xdr:rowOff>
    </xdr:from>
    <xdr:to>
      <xdr:col>45</xdr:col>
      <xdr:colOff>309704</xdr:colOff>
      <xdr:row>92</xdr:row>
      <xdr:rowOff>59918</xdr:rowOff>
    </xdr:to>
    <xdr:graphicFrame macro="">
      <xdr:nvGraphicFramePr>
        <xdr:cNvPr id="278" name="Graphiqu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642368</xdr:colOff>
      <xdr:row>92</xdr:row>
      <xdr:rowOff>148902</xdr:rowOff>
    </xdr:from>
    <xdr:to>
      <xdr:col>45</xdr:col>
      <xdr:colOff>459368</xdr:colOff>
      <xdr:row>119</xdr:row>
      <xdr:rowOff>40821</xdr:rowOff>
    </xdr:to>
    <xdr:graphicFrame macro="">
      <xdr:nvGraphicFramePr>
        <xdr:cNvPr id="280" name="Graphique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140506</xdr:colOff>
      <xdr:row>92</xdr:row>
      <xdr:rowOff>126320</xdr:rowOff>
    </xdr:from>
    <xdr:to>
      <xdr:col>26</xdr:col>
      <xdr:colOff>726976</xdr:colOff>
      <xdr:row>119</xdr:row>
      <xdr:rowOff>68035</xdr:rowOff>
    </xdr:to>
    <xdr:graphicFrame macro="">
      <xdr:nvGraphicFramePr>
        <xdr:cNvPr id="277" name="Graphiqu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367514</xdr:colOff>
      <xdr:row>80</xdr:row>
      <xdr:rowOff>58903</xdr:rowOff>
    </xdr:from>
    <xdr:to>
      <xdr:col>35</xdr:col>
      <xdr:colOff>114556</xdr:colOff>
      <xdr:row>91</xdr:row>
      <xdr:rowOff>78444</xdr:rowOff>
    </xdr:to>
    <xdr:graphicFrame macro="">
      <xdr:nvGraphicFramePr>
        <xdr:cNvPr id="279" name="Graphiqu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36</xdr:col>
      <xdr:colOff>419662</xdr:colOff>
      <xdr:row>121</xdr:row>
      <xdr:rowOff>102969</xdr:rowOff>
    </xdr:from>
    <xdr:to>
      <xdr:col>45</xdr:col>
      <xdr:colOff>264372</xdr:colOff>
      <xdr:row>138</xdr:row>
      <xdr:rowOff>214814</xdr:rowOff>
    </xdr:to>
    <xdr:graphicFrame macro="">
      <xdr:nvGraphicFramePr>
        <xdr:cNvPr id="281" name="Graphique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11207</xdr:colOff>
      <xdr:row>23</xdr:row>
      <xdr:rowOff>33618</xdr:rowOff>
    </xdr:from>
    <xdr:to>
      <xdr:col>35</xdr:col>
      <xdr:colOff>604831</xdr:colOff>
      <xdr:row>36</xdr:row>
      <xdr:rowOff>107693</xdr:rowOff>
    </xdr:to>
    <xdr:graphicFrame macro="">
      <xdr:nvGraphicFramePr>
        <xdr:cNvPr id="103" name="Graphiqu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108858</xdr:colOff>
      <xdr:row>1</xdr:row>
      <xdr:rowOff>256715</xdr:rowOff>
    </xdr:from>
    <xdr:to>
      <xdr:col>35</xdr:col>
      <xdr:colOff>730192</xdr:colOff>
      <xdr:row>13</xdr:row>
      <xdr:rowOff>172191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111580</xdr:colOff>
      <xdr:row>1</xdr:row>
      <xdr:rowOff>256715</xdr:rowOff>
    </xdr:from>
    <xdr:to>
      <xdr:col>26</xdr:col>
      <xdr:colOff>732914</xdr:colOff>
      <xdr:row>13</xdr:row>
      <xdr:rowOff>172191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216329</xdr:colOff>
      <xdr:row>71</xdr:row>
      <xdr:rowOff>104539</xdr:rowOff>
    </xdr:from>
    <xdr:to>
      <xdr:col>27</xdr:col>
      <xdr:colOff>48768</xdr:colOff>
      <xdr:row>87</xdr:row>
      <xdr:rowOff>47328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297967</xdr:colOff>
      <xdr:row>71</xdr:row>
      <xdr:rowOff>113155</xdr:rowOff>
    </xdr:from>
    <xdr:to>
      <xdr:col>36</xdr:col>
      <xdr:colOff>115166</xdr:colOff>
      <xdr:row>87</xdr:row>
      <xdr:rowOff>55944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98428</xdr:colOff>
      <xdr:row>15</xdr:row>
      <xdr:rowOff>63835</xdr:rowOff>
    </xdr:from>
    <xdr:to>
      <xdr:col>26</xdr:col>
      <xdr:colOff>721179</xdr:colOff>
      <xdr:row>25</xdr:row>
      <xdr:rowOff>67002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70723</xdr:colOff>
      <xdr:row>27</xdr:row>
      <xdr:rowOff>164216</xdr:rowOff>
    </xdr:from>
    <xdr:to>
      <xdr:col>26</xdr:col>
      <xdr:colOff>692057</xdr:colOff>
      <xdr:row>45</xdr:row>
      <xdr:rowOff>12913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95415</xdr:colOff>
      <xdr:row>15</xdr:row>
      <xdr:rowOff>77235</xdr:rowOff>
    </xdr:from>
    <xdr:to>
      <xdr:col>35</xdr:col>
      <xdr:colOff>716749</xdr:colOff>
      <xdr:row>25</xdr:row>
      <xdr:rowOff>80402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112247</xdr:colOff>
      <xdr:row>48</xdr:row>
      <xdr:rowOff>20985</xdr:rowOff>
    </xdr:from>
    <xdr:to>
      <xdr:col>26</xdr:col>
      <xdr:colOff>733581</xdr:colOff>
      <xdr:row>65</xdr:row>
      <xdr:rowOff>52798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781593</xdr:colOff>
      <xdr:row>49</xdr:row>
      <xdr:rowOff>40898</xdr:rowOff>
    </xdr:from>
    <xdr:to>
      <xdr:col>42</xdr:col>
      <xdr:colOff>504335</xdr:colOff>
      <xdr:row>61</xdr:row>
      <xdr:rowOff>133446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102471</xdr:colOff>
      <xdr:row>27</xdr:row>
      <xdr:rowOff>150362</xdr:rowOff>
    </xdr:from>
    <xdr:to>
      <xdr:col>35</xdr:col>
      <xdr:colOff>723805</xdr:colOff>
      <xdr:row>45</xdr:row>
      <xdr:rowOff>15181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39915</xdr:colOff>
      <xdr:row>1</xdr:row>
      <xdr:rowOff>245831</xdr:rowOff>
    </xdr:from>
    <xdr:to>
      <xdr:col>44</xdr:col>
      <xdr:colOff>661249</xdr:colOff>
      <xdr:row>13</xdr:row>
      <xdr:rowOff>161307</xdr:rowOff>
    </xdr:to>
    <xdr:graphicFrame macro="">
      <xdr:nvGraphicFramePr>
        <xdr:cNvPr id="24" name="Graphiqu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0</xdr:colOff>
      <xdr:row>48</xdr:row>
      <xdr:rowOff>0</xdr:rowOff>
    </xdr:from>
    <xdr:to>
      <xdr:col>35</xdr:col>
      <xdr:colOff>621334</xdr:colOff>
      <xdr:row>64</xdr:row>
      <xdr:rowOff>61609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715405</xdr:colOff>
      <xdr:row>1</xdr:row>
      <xdr:rowOff>272967</xdr:rowOff>
    </xdr:from>
    <xdr:to>
      <xdr:col>25</xdr:col>
      <xdr:colOff>902821</xdr:colOff>
      <xdr:row>20</xdr:row>
      <xdr:rowOff>24634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548669</xdr:colOff>
      <xdr:row>37</xdr:row>
      <xdr:rowOff>285919</xdr:rowOff>
    </xdr:from>
    <xdr:to>
      <xdr:col>25</xdr:col>
      <xdr:colOff>736085</xdr:colOff>
      <xdr:row>59</xdr:row>
      <xdr:rowOff>91708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674626</xdr:colOff>
      <xdr:row>104</xdr:row>
      <xdr:rowOff>74965</xdr:rowOff>
    </xdr:from>
    <xdr:to>
      <xdr:col>25</xdr:col>
      <xdr:colOff>866276</xdr:colOff>
      <xdr:row>117</xdr:row>
      <xdr:rowOff>65790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627142</xdr:colOff>
      <xdr:row>61</xdr:row>
      <xdr:rowOff>155518</xdr:rowOff>
    </xdr:from>
    <xdr:to>
      <xdr:col>25</xdr:col>
      <xdr:colOff>831659</xdr:colOff>
      <xdr:row>77</xdr:row>
      <xdr:rowOff>30960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640025</xdr:colOff>
      <xdr:row>78</xdr:row>
      <xdr:rowOff>142786</xdr:rowOff>
    </xdr:from>
    <xdr:to>
      <xdr:col>25</xdr:col>
      <xdr:colOff>825902</xdr:colOff>
      <xdr:row>89</xdr:row>
      <xdr:rowOff>92868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625492</xdr:colOff>
      <xdr:row>91</xdr:row>
      <xdr:rowOff>210909</xdr:rowOff>
    </xdr:from>
    <xdr:to>
      <xdr:col>25</xdr:col>
      <xdr:colOff>817719</xdr:colOff>
      <xdr:row>102</xdr:row>
      <xdr:rowOff>164334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693964</xdr:colOff>
      <xdr:row>22</xdr:row>
      <xdr:rowOff>172808</xdr:rowOff>
    </xdr:from>
    <xdr:to>
      <xdr:col>24</xdr:col>
      <xdr:colOff>625928</xdr:colOff>
      <xdr:row>34</xdr:row>
      <xdr:rowOff>95249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38</xdr:row>
      <xdr:rowOff>0</xdr:rowOff>
    </xdr:from>
    <xdr:to>
      <xdr:col>34</xdr:col>
      <xdr:colOff>17087</xdr:colOff>
      <xdr:row>59</xdr:row>
      <xdr:rowOff>110589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263979</xdr:colOff>
      <xdr:row>0</xdr:row>
      <xdr:rowOff>95250</xdr:rowOff>
    </xdr:from>
    <xdr:to>
      <xdr:col>28</xdr:col>
      <xdr:colOff>508908</xdr:colOff>
      <xdr:row>14</xdr:row>
      <xdr:rowOff>24493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272143</xdr:colOff>
      <xdr:row>43</xdr:row>
      <xdr:rowOff>149555</xdr:rowOff>
    </xdr:from>
    <xdr:to>
      <xdr:col>28</xdr:col>
      <xdr:colOff>544285</xdr:colOff>
      <xdr:row>59</xdr:row>
      <xdr:rowOff>54429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272142</xdr:colOff>
      <xdr:row>60</xdr:row>
      <xdr:rowOff>2731</xdr:rowOff>
    </xdr:from>
    <xdr:to>
      <xdr:col>28</xdr:col>
      <xdr:colOff>544286</xdr:colOff>
      <xdr:row>75</xdr:row>
      <xdr:rowOff>136072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693964</xdr:colOff>
      <xdr:row>43</xdr:row>
      <xdr:rowOff>163286</xdr:rowOff>
    </xdr:from>
    <xdr:to>
      <xdr:col>37</xdr:col>
      <xdr:colOff>639536</xdr:colOff>
      <xdr:row>59</xdr:row>
      <xdr:rowOff>81643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285751</xdr:colOff>
      <xdr:row>15</xdr:row>
      <xdr:rowOff>155120</xdr:rowOff>
    </xdr:from>
    <xdr:to>
      <xdr:col>28</xdr:col>
      <xdr:colOff>530678</xdr:colOff>
      <xdr:row>28</xdr:row>
      <xdr:rowOff>35376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680357</xdr:colOff>
      <xdr:row>15</xdr:row>
      <xdr:rowOff>155119</xdr:rowOff>
    </xdr:from>
    <xdr:to>
      <xdr:col>37</xdr:col>
      <xdr:colOff>625929</xdr:colOff>
      <xdr:row>28</xdr:row>
      <xdr:rowOff>35377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706333</xdr:colOff>
      <xdr:row>29</xdr:row>
      <xdr:rowOff>185058</xdr:rowOff>
    </xdr:from>
    <xdr:to>
      <xdr:col>37</xdr:col>
      <xdr:colOff>653144</xdr:colOff>
      <xdr:row>43</xdr:row>
      <xdr:rowOff>54429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271450</xdr:colOff>
      <xdr:row>31</xdr:row>
      <xdr:rowOff>8979</xdr:rowOff>
    </xdr:from>
    <xdr:to>
      <xdr:col>28</xdr:col>
      <xdr:colOff>544286</xdr:colOff>
      <xdr:row>43</xdr:row>
      <xdr:rowOff>54429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296635</xdr:colOff>
      <xdr:row>0</xdr:row>
      <xdr:rowOff>84365</xdr:rowOff>
    </xdr:from>
    <xdr:to>
      <xdr:col>28</xdr:col>
      <xdr:colOff>541564</xdr:colOff>
      <xdr:row>14</xdr:row>
      <xdr:rowOff>13608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272143</xdr:colOff>
      <xdr:row>43</xdr:row>
      <xdr:rowOff>149555</xdr:rowOff>
    </xdr:from>
    <xdr:to>
      <xdr:col>28</xdr:col>
      <xdr:colOff>544285</xdr:colOff>
      <xdr:row>59</xdr:row>
      <xdr:rowOff>54429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272142</xdr:colOff>
      <xdr:row>60</xdr:row>
      <xdr:rowOff>2731</xdr:rowOff>
    </xdr:from>
    <xdr:to>
      <xdr:col>28</xdr:col>
      <xdr:colOff>544286</xdr:colOff>
      <xdr:row>76</xdr:row>
      <xdr:rowOff>63500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693964</xdr:colOff>
      <xdr:row>43</xdr:row>
      <xdr:rowOff>163286</xdr:rowOff>
    </xdr:from>
    <xdr:to>
      <xdr:col>37</xdr:col>
      <xdr:colOff>639536</xdr:colOff>
      <xdr:row>59</xdr:row>
      <xdr:rowOff>81643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285751</xdr:colOff>
      <xdr:row>14</xdr:row>
      <xdr:rowOff>133350</xdr:rowOff>
    </xdr:from>
    <xdr:to>
      <xdr:col>28</xdr:col>
      <xdr:colOff>530678</xdr:colOff>
      <xdr:row>29</xdr:row>
      <xdr:rowOff>13606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680357</xdr:colOff>
      <xdr:row>14</xdr:row>
      <xdr:rowOff>133349</xdr:rowOff>
    </xdr:from>
    <xdr:to>
      <xdr:col>37</xdr:col>
      <xdr:colOff>625929</xdr:colOff>
      <xdr:row>29</xdr:row>
      <xdr:rowOff>13607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706333</xdr:colOff>
      <xdr:row>29</xdr:row>
      <xdr:rowOff>174170</xdr:rowOff>
    </xdr:from>
    <xdr:to>
      <xdr:col>37</xdr:col>
      <xdr:colOff>653144</xdr:colOff>
      <xdr:row>42</xdr:row>
      <xdr:rowOff>65313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325239</xdr:colOff>
      <xdr:row>30</xdr:row>
      <xdr:rowOff>57642</xdr:rowOff>
    </xdr:from>
    <xdr:to>
      <xdr:col>28</xdr:col>
      <xdr:colOff>598075</xdr:colOff>
      <xdr:row>42</xdr:row>
      <xdr:rowOff>119101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371024</xdr:colOff>
      <xdr:row>0</xdr:row>
      <xdr:rowOff>97971</xdr:rowOff>
    </xdr:from>
    <xdr:to>
      <xdr:col>29</xdr:col>
      <xdr:colOff>253094</xdr:colOff>
      <xdr:row>15</xdr:row>
      <xdr:rowOff>43543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426152</xdr:colOff>
      <xdr:row>63</xdr:row>
      <xdr:rowOff>131866</xdr:rowOff>
    </xdr:from>
    <xdr:to>
      <xdr:col>29</xdr:col>
      <xdr:colOff>299357</xdr:colOff>
      <xdr:row>79</xdr:row>
      <xdr:rowOff>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421821</xdr:colOff>
      <xdr:row>79</xdr:row>
      <xdr:rowOff>134265</xdr:rowOff>
    </xdr:from>
    <xdr:to>
      <xdr:col>29</xdr:col>
      <xdr:colOff>285751</xdr:colOff>
      <xdr:row>93</xdr:row>
      <xdr:rowOff>161773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520473</xdr:colOff>
      <xdr:row>63</xdr:row>
      <xdr:rowOff>135431</xdr:rowOff>
    </xdr:from>
    <xdr:to>
      <xdr:col>38</xdr:col>
      <xdr:colOff>517072</xdr:colOff>
      <xdr:row>79</xdr:row>
      <xdr:rowOff>13607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407671</xdr:colOff>
      <xdr:row>32</xdr:row>
      <xdr:rowOff>84360</xdr:rowOff>
    </xdr:from>
    <xdr:to>
      <xdr:col>29</xdr:col>
      <xdr:colOff>285750</xdr:colOff>
      <xdr:row>48</xdr:row>
      <xdr:rowOff>168724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408214</xdr:colOff>
      <xdr:row>16</xdr:row>
      <xdr:rowOff>0</xdr:rowOff>
    </xdr:from>
    <xdr:to>
      <xdr:col>29</xdr:col>
      <xdr:colOff>285750</xdr:colOff>
      <xdr:row>32</xdr:row>
      <xdr:rowOff>40822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476251</xdr:colOff>
      <xdr:row>32</xdr:row>
      <xdr:rowOff>100690</xdr:rowOff>
    </xdr:from>
    <xdr:to>
      <xdr:col>38</xdr:col>
      <xdr:colOff>517072</xdr:colOff>
      <xdr:row>48</xdr:row>
      <xdr:rowOff>168724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462643</xdr:colOff>
      <xdr:row>15</xdr:row>
      <xdr:rowOff>182336</xdr:rowOff>
    </xdr:from>
    <xdr:to>
      <xdr:col>38</xdr:col>
      <xdr:colOff>517072</xdr:colOff>
      <xdr:row>32</xdr:row>
      <xdr:rowOff>38102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418418</xdr:colOff>
      <xdr:row>49</xdr:row>
      <xdr:rowOff>18741</xdr:rowOff>
    </xdr:from>
    <xdr:to>
      <xdr:col>29</xdr:col>
      <xdr:colOff>312964</xdr:colOff>
      <xdr:row>63</xdr:row>
      <xdr:rowOff>70756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489858</xdr:colOff>
      <xdr:row>49</xdr:row>
      <xdr:rowOff>48986</xdr:rowOff>
    </xdr:from>
    <xdr:to>
      <xdr:col>38</xdr:col>
      <xdr:colOff>489857</xdr:colOff>
      <xdr:row>63</xdr:row>
      <xdr:rowOff>57150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2049023</xdr:colOff>
      <xdr:row>2</xdr:row>
      <xdr:rowOff>41060</xdr:rowOff>
    </xdr:from>
    <xdr:to>
      <xdr:col>28</xdr:col>
      <xdr:colOff>2430</xdr:colOff>
      <xdr:row>19</xdr:row>
      <xdr:rowOff>48883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1803114</xdr:colOff>
      <xdr:row>56</xdr:row>
      <xdr:rowOff>171650</xdr:rowOff>
    </xdr:from>
    <xdr:to>
      <xdr:col>27</xdr:col>
      <xdr:colOff>511429</xdr:colOff>
      <xdr:row>68</xdr:row>
      <xdr:rowOff>32463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1899555</xdr:colOff>
      <xdr:row>71</xdr:row>
      <xdr:rowOff>27225</xdr:rowOff>
    </xdr:from>
    <xdr:to>
      <xdr:col>27</xdr:col>
      <xdr:colOff>593270</xdr:colOff>
      <xdr:row>84</xdr:row>
      <xdr:rowOff>8167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701929</xdr:colOff>
      <xdr:row>56</xdr:row>
      <xdr:rowOff>190059</xdr:rowOff>
    </xdr:from>
    <xdr:to>
      <xdr:col>36</xdr:col>
      <xdr:colOff>647501</xdr:colOff>
      <xdr:row>68</xdr:row>
      <xdr:rowOff>18855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1892306</xdr:colOff>
      <xdr:row>20</xdr:row>
      <xdr:rowOff>107689</xdr:rowOff>
    </xdr:from>
    <xdr:to>
      <xdr:col>27</xdr:col>
      <xdr:colOff>604952</xdr:colOff>
      <xdr:row>39</xdr:row>
      <xdr:rowOff>44822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1011</xdr:colOff>
      <xdr:row>20</xdr:row>
      <xdr:rowOff>100340</xdr:rowOff>
    </xdr:from>
    <xdr:to>
      <xdr:col>36</xdr:col>
      <xdr:colOff>713811</xdr:colOff>
      <xdr:row>39</xdr:row>
      <xdr:rowOff>67235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1882308</xdr:colOff>
      <xdr:row>39</xdr:row>
      <xdr:rowOff>164284</xdr:rowOff>
    </xdr:from>
    <xdr:to>
      <xdr:col>27</xdr:col>
      <xdr:colOff>594954</xdr:colOff>
      <xdr:row>56</xdr:row>
      <xdr:rowOff>24296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729342</xdr:colOff>
      <xdr:row>39</xdr:row>
      <xdr:rowOff>129288</xdr:rowOff>
    </xdr:from>
    <xdr:to>
      <xdr:col>36</xdr:col>
      <xdr:colOff>680142</xdr:colOff>
      <xdr:row>56</xdr:row>
      <xdr:rowOff>331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381001</xdr:colOff>
      <xdr:row>0</xdr:row>
      <xdr:rowOff>57149</xdr:rowOff>
    </xdr:from>
    <xdr:to>
      <xdr:col>28</xdr:col>
      <xdr:colOff>625928</xdr:colOff>
      <xdr:row>14</xdr:row>
      <xdr:rowOff>157843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302450</xdr:colOff>
      <xdr:row>29</xdr:row>
      <xdr:rowOff>151905</xdr:rowOff>
    </xdr:from>
    <xdr:to>
      <xdr:col>28</xdr:col>
      <xdr:colOff>543048</xdr:colOff>
      <xdr:row>44</xdr:row>
      <xdr:rowOff>74718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367640</xdr:colOff>
      <xdr:row>45</xdr:row>
      <xdr:rowOff>154389</xdr:rowOff>
    </xdr:from>
    <xdr:to>
      <xdr:col>28</xdr:col>
      <xdr:colOff>598962</xdr:colOff>
      <xdr:row>62</xdr:row>
      <xdr:rowOff>66799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747649</xdr:colOff>
      <xdr:row>29</xdr:row>
      <xdr:rowOff>150669</xdr:rowOff>
    </xdr:from>
    <xdr:to>
      <xdr:col>37</xdr:col>
      <xdr:colOff>665512</xdr:colOff>
      <xdr:row>44</xdr:row>
      <xdr:rowOff>88325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367393</xdr:colOff>
      <xdr:row>15</xdr:row>
      <xdr:rowOff>58050</xdr:rowOff>
    </xdr:from>
    <xdr:to>
      <xdr:col>28</xdr:col>
      <xdr:colOff>612321</xdr:colOff>
      <xdr:row>28</xdr:row>
      <xdr:rowOff>283029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26523</xdr:colOff>
      <xdr:row>15</xdr:row>
      <xdr:rowOff>68854</xdr:rowOff>
    </xdr:from>
    <xdr:to>
      <xdr:col>37</xdr:col>
      <xdr:colOff>734785</xdr:colOff>
      <xdr:row>28</xdr:row>
      <xdr:rowOff>274865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2"/>
  <sheetViews>
    <sheetView tabSelected="1" zoomScaleNormal="100" workbookViewId="0">
      <selection activeCell="B6" sqref="B6:M6"/>
    </sheetView>
  </sheetViews>
  <sheetFormatPr baseColWidth="10" defaultColWidth="11.453125" defaultRowHeight="14.5"/>
  <cols>
    <col min="1" max="16" width="11.453125" style="36"/>
    <col min="17" max="16384" width="11.453125" style="1"/>
  </cols>
  <sheetData>
    <row r="4" spans="2:13" ht="33" customHeight="1"/>
    <row r="6" spans="2:13" ht="79.5" customHeight="1">
      <c r="B6" s="604" t="s">
        <v>290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</row>
    <row r="8" spans="2:13" ht="28">
      <c r="G8" s="589" t="s">
        <v>388</v>
      </c>
    </row>
    <row r="9" spans="2:13" ht="15.5">
      <c r="G9" s="590" t="s">
        <v>389</v>
      </c>
    </row>
    <row r="10" spans="2:13" ht="15.5">
      <c r="G10" s="590"/>
    </row>
    <row r="11" spans="2:13" ht="15.5">
      <c r="C11" s="607" t="s">
        <v>286</v>
      </c>
      <c r="D11" s="607"/>
      <c r="E11" s="607"/>
      <c r="F11" s="607"/>
      <c r="G11" s="607"/>
      <c r="H11" s="607"/>
      <c r="I11" s="607"/>
      <c r="J11" s="607"/>
      <c r="K11" s="607"/>
      <c r="L11" s="607"/>
    </row>
    <row r="13" spans="2:13">
      <c r="C13" s="591" t="s">
        <v>121</v>
      </c>
      <c r="D13" s="591"/>
      <c r="E13" s="591"/>
      <c r="F13" s="591"/>
      <c r="G13" s="591" t="s">
        <v>167</v>
      </c>
      <c r="H13" s="591"/>
      <c r="I13" s="591"/>
      <c r="J13" s="591"/>
      <c r="K13" s="591"/>
    </row>
    <row r="14" spans="2:13">
      <c r="C14" s="592"/>
      <c r="D14" s="592"/>
      <c r="E14" s="592"/>
      <c r="F14" s="592"/>
      <c r="G14" s="592"/>
      <c r="H14" s="592"/>
      <c r="I14" s="592"/>
      <c r="J14" s="592"/>
      <c r="K14" s="592"/>
    </row>
    <row r="15" spans="2:13">
      <c r="C15" s="593"/>
      <c r="D15" s="594" t="s">
        <v>118</v>
      </c>
      <c r="G15" s="595"/>
      <c r="H15" s="594" t="s">
        <v>287</v>
      </c>
    </row>
    <row r="16" spans="2:13">
      <c r="C16" s="596"/>
      <c r="D16" s="594" t="s">
        <v>22</v>
      </c>
      <c r="G16" s="597"/>
      <c r="H16" s="594" t="s">
        <v>10</v>
      </c>
    </row>
    <row r="17" spans="3:11">
      <c r="C17" s="598"/>
      <c r="D17" s="594" t="s">
        <v>10</v>
      </c>
      <c r="G17" s="599"/>
      <c r="H17" s="594" t="s">
        <v>288</v>
      </c>
    </row>
    <row r="18" spans="3:11" ht="17.5">
      <c r="C18" s="600"/>
      <c r="D18" s="594" t="s">
        <v>119</v>
      </c>
      <c r="F18" s="601"/>
    </row>
    <row r="19" spans="3:11" ht="17.5">
      <c r="C19" s="602"/>
      <c r="D19" s="594" t="s">
        <v>120</v>
      </c>
      <c r="F19" s="601"/>
    </row>
    <row r="21" spans="3:11">
      <c r="C21" s="606" t="s">
        <v>27</v>
      </c>
      <c r="D21" s="606"/>
      <c r="E21" s="606"/>
      <c r="F21" s="606"/>
      <c r="G21" s="606"/>
      <c r="H21" s="606"/>
      <c r="I21" s="606"/>
      <c r="J21" s="606"/>
      <c r="K21" s="606"/>
    </row>
    <row r="22" spans="3:11">
      <c r="C22" s="592"/>
      <c r="D22" s="592"/>
      <c r="E22" s="592"/>
      <c r="F22" s="592"/>
      <c r="G22" s="592"/>
      <c r="H22" s="592"/>
      <c r="I22" s="592"/>
      <c r="J22" s="592"/>
      <c r="K22" s="592"/>
    </row>
    <row r="23" spans="3:11">
      <c r="C23" s="603" t="s">
        <v>49</v>
      </c>
    </row>
    <row r="24" spans="3:11">
      <c r="C24" s="603" t="s">
        <v>74</v>
      </c>
    </row>
    <row r="25" spans="3:11">
      <c r="C25" s="603" t="s">
        <v>484</v>
      </c>
    </row>
    <row r="26" spans="3:11">
      <c r="C26" s="603" t="s">
        <v>485</v>
      </c>
    </row>
    <row r="28" spans="3:11">
      <c r="C28" s="36" t="s">
        <v>50</v>
      </c>
    </row>
    <row r="29" spans="3:11">
      <c r="D29" s="603" t="s">
        <v>14</v>
      </c>
    </row>
    <row r="30" spans="3:11">
      <c r="D30" s="603" t="s">
        <v>15</v>
      </c>
    </row>
    <row r="31" spans="3:11">
      <c r="D31" s="603" t="s">
        <v>16</v>
      </c>
    </row>
    <row r="32" spans="3:11">
      <c r="D32" s="603" t="s">
        <v>17</v>
      </c>
    </row>
    <row r="33" spans="3:11">
      <c r="D33" s="603" t="s">
        <v>18</v>
      </c>
    </row>
    <row r="35" spans="3:11">
      <c r="C35" s="606" t="s">
        <v>34</v>
      </c>
      <c r="D35" s="606"/>
      <c r="E35" s="606"/>
      <c r="F35" s="606"/>
      <c r="G35" s="606"/>
      <c r="H35" s="606"/>
      <c r="I35" s="606"/>
      <c r="J35" s="606"/>
      <c r="K35" s="606"/>
    </row>
    <row r="36" spans="3:11">
      <c r="C36" s="592"/>
      <c r="D36" s="592"/>
      <c r="E36" s="592"/>
      <c r="F36" s="592"/>
      <c r="G36" s="592"/>
      <c r="H36" s="592"/>
      <c r="I36" s="592"/>
      <c r="J36" s="592"/>
      <c r="K36" s="592"/>
    </row>
    <row r="37" spans="3:11">
      <c r="C37" s="36" t="s">
        <v>35</v>
      </c>
      <c r="D37" s="36" t="s">
        <v>36</v>
      </c>
    </row>
    <row r="38" spans="3:11">
      <c r="C38" s="36" t="s">
        <v>98</v>
      </c>
      <c r="D38" s="36" t="s">
        <v>99</v>
      </c>
    </row>
    <row r="39" spans="3:11">
      <c r="C39" s="36" t="s">
        <v>39</v>
      </c>
      <c r="D39" s="36" t="s">
        <v>40</v>
      </c>
    </row>
    <row r="40" spans="3:11">
      <c r="C40" s="36" t="s">
        <v>96</v>
      </c>
      <c r="D40" s="36" t="s">
        <v>97</v>
      </c>
    </row>
    <row r="41" spans="3:11">
      <c r="C41" s="36" t="s">
        <v>100</v>
      </c>
      <c r="D41" s="36" t="s">
        <v>116</v>
      </c>
    </row>
    <row r="42" spans="3:11">
      <c r="C42" s="36" t="s">
        <v>37</v>
      </c>
      <c r="D42" s="36" t="s">
        <v>38</v>
      </c>
    </row>
  </sheetData>
  <sheetProtection algorithmName="SHA-512" hashValue="QHklb4SF4oElKiztJkECFCMCIqmjhCwdlJPDxOvaOsJmd0l/8/grqw/6hEqG5kyevuPBdLjVTje4H16J+WGu8Q==" saltValue="Ddu2xHOWKBnyB2JxDXlzLQ==" spinCount="100000" sheet="1" objects="1" scenarios="1"/>
  <mergeCells count="4">
    <mergeCell ref="B6:M6"/>
    <mergeCell ref="C21:K21"/>
    <mergeCell ref="C35:K35"/>
    <mergeCell ref="C11:L11"/>
  </mergeCells>
  <hyperlinks>
    <hyperlink ref="D30" location="Aluminium!A1" display="Aluminium" xr:uid="{00000000-0004-0000-0000-000000000000}"/>
    <hyperlink ref="C23" location="'Mise sur le marché'!A1" display="Indicateurs relatifs à la mise sur le marché" xr:uid="{00000000-0004-0000-0000-000001000000}"/>
    <hyperlink ref="C24" location="'Collecte et tri'!A1" display="Indicateurs relatifs au recyclage" xr:uid="{00000000-0004-0000-0000-000002000000}"/>
    <hyperlink ref="C25" location="'Indicateurs économiques - Citeo'!A1" display="Indicateurs économiques de Citeo/Adelphe" xr:uid="{00000000-0004-0000-0000-000003000000}"/>
    <hyperlink ref="D29" location="Acier!A1" display="Acier" xr:uid="{00000000-0004-0000-0000-000004000000}"/>
    <hyperlink ref="D31" location="'Papier-Carton'!A1" display="Papier/Carton" xr:uid="{00000000-0004-0000-0000-000005000000}"/>
    <hyperlink ref="D32" location="Plastique!A1" display="Plastique" xr:uid="{00000000-0004-0000-0000-000006000000}"/>
    <hyperlink ref="D33" location="Verre!A1" display="Verre" xr:uid="{00000000-0004-0000-0000-000007000000}"/>
    <hyperlink ref="C26" location="'Indicateurs économiques - Leko'!A1" display="Indicateurs économiques de Léko" xr:uid="{00000000-0004-0000-0000-000008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BM542"/>
  <sheetViews>
    <sheetView zoomScale="80" zoomScaleNormal="80" workbookViewId="0"/>
  </sheetViews>
  <sheetFormatPr baseColWidth="10" defaultColWidth="11.54296875" defaultRowHeight="14.5"/>
  <cols>
    <col min="1" max="1" width="10.54296875" style="1" customWidth="1"/>
    <col min="2" max="2" width="63.81640625" style="83" customWidth="1"/>
    <col min="3" max="3" width="17.453125" style="83" customWidth="1"/>
    <col min="4" max="4" width="6.453125" style="83" bestFit="1" customWidth="1"/>
    <col min="5" max="14" width="11.54296875" style="83"/>
    <col min="15" max="18" width="11.54296875" style="36"/>
    <col min="19" max="19" width="34.453125" style="36" customWidth="1"/>
    <col min="20" max="32" width="11.54296875" style="1"/>
  </cols>
  <sheetData>
    <row r="1" spans="2:65" s="1" customFormat="1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83"/>
    </row>
    <row r="2" spans="2:65" ht="23">
      <c r="B2" s="37" t="s">
        <v>91</v>
      </c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2:65" ht="1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2:65" ht="18">
      <c r="B4" s="38" t="s">
        <v>7</v>
      </c>
      <c r="C4" s="39" t="s">
        <v>140</v>
      </c>
      <c r="D4" s="39" t="s">
        <v>0</v>
      </c>
      <c r="E4" s="40">
        <v>2009</v>
      </c>
      <c r="F4" s="40">
        <v>2010</v>
      </c>
      <c r="G4" s="40">
        <v>2011</v>
      </c>
      <c r="H4" s="40">
        <v>2012</v>
      </c>
      <c r="I4" s="40">
        <v>2013</v>
      </c>
      <c r="J4" s="40">
        <v>2014</v>
      </c>
      <c r="K4" s="40">
        <v>2015</v>
      </c>
      <c r="L4" s="40">
        <v>2016</v>
      </c>
      <c r="M4" s="40">
        <v>2017</v>
      </c>
      <c r="N4" s="40">
        <v>2018</v>
      </c>
      <c r="O4" s="40">
        <v>2019</v>
      </c>
      <c r="P4" s="434">
        <v>2020</v>
      </c>
      <c r="Q4" s="41">
        <v>2021</v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2:65">
      <c r="B5" s="42" t="s">
        <v>6</v>
      </c>
      <c r="C5" s="43"/>
      <c r="D5" s="43"/>
      <c r="E5" s="44">
        <v>2010</v>
      </c>
      <c r="F5" s="44">
        <v>2011</v>
      </c>
      <c r="G5" s="44">
        <v>2012</v>
      </c>
      <c r="H5" s="44">
        <v>2013</v>
      </c>
      <c r="I5" s="44">
        <v>2014</v>
      </c>
      <c r="J5" s="44">
        <v>2015</v>
      </c>
      <c r="K5" s="44">
        <v>2016</v>
      </c>
      <c r="L5" s="44">
        <v>2017</v>
      </c>
      <c r="M5" s="44">
        <v>2018</v>
      </c>
      <c r="N5" s="44">
        <v>2019</v>
      </c>
      <c r="O5" s="44">
        <v>2020</v>
      </c>
      <c r="P5" s="533">
        <v>2021</v>
      </c>
      <c r="Q5" s="45">
        <v>2022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2:65" ht="30" customHeight="1">
      <c r="B6" s="654" t="s">
        <v>47</v>
      </c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6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2:65" s="1" customFormat="1">
      <c r="B7" s="46" t="s">
        <v>72</v>
      </c>
      <c r="C7" s="47" t="s">
        <v>123</v>
      </c>
      <c r="D7" s="43" t="s">
        <v>11</v>
      </c>
      <c r="E7" s="50">
        <f>E8+E9</f>
        <v>1031.837298224789</v>
      </c>
      <c r="F7" s="50">
        <f t="shared" ref="F7:Q7" si="0">F8+F9</f>
        <v>1060.7585587498932</v>
      </c>
      <c r="G7" s="50">
        <f t="shared" si="0"/>
        <v>1066.4541444084578</v>
      </c>
      <c r="H7" s="50">
        <f t="shared" si="0"/>
        <v>1080.5776774125461</v>
      </c>
      <c r="I7" s="50">
        <f t="shared" si="0"/>
        <v>1088.6322801038104</v>
      </c>
      <c r="J7" s="50">
        <f t="shared" si="0"/>
        <v>1104.5364889099308</v>
      </c>
      <c r="K7" s="50">
        <f t="shared" si="0"/>
        <v>1125.0732427571127</v>
      </c>
      <c r="L7" s="50">
        <f t="shared" si="0"/>
        <v>1147.1218005760795</v>
      </c>
      <c r="M7" s="50">
        <f t="shared" si="0"/>
        <v>1170.1908711714614</v>
      </c>
      <c r="N7" s="50">
        <f t="shared" si="0"/>
        <v>1165.352623552508</v>
      </c>
      <c r="O7" s="50">
        <f t="shared" si="0"/>
        <v>1165.4659999999999</v>
      </c>
      <c r="P7" s="546">
        <f t="shared" ref="P7" si="1">P8+P9</f>
        <v>1184.0108599999999</v>
      </c>
      <c r="Q7" s="51">
        <f t="shared" si="0"/>
        <v>1187.1427020000001</v>
      </c>
      <c r="R7" s="36"/>
      <c r="S7" s="36"/>
    </row>
    <row r="8" spans="2:65" s="1" customFormat="1" ht="17.5">
      <c r="B8" s="52" t="s">
        <v>144</v>
      </c>
      <c r="C8" s="47" t="s">
        <v>141</v>
      </c>
      <c r="D8" s="43" t="s">
        <v>11</v>
      </c>
      <c r="E8" s="497">
        <f>'Mise sur le marché'!E23</f>
        <v>567.51051402363407</v>
      </c>
      <c r="F8" s="497">
        <f>'Mise sur le marché'!F23</f>
        <v>510.40567088943499</v>
      </c>
      <c r="G8" s="497">
        <f>'Mise sur le marché'!G23</f>
        <v>512.81847390867392</v>
      </c>
      <c r="H8" s="497">
        <f>'Mise sur le marché'!H23</f>
        <v>454.34234195345778</v>
      </c>
      <c r="I8" s="497">
        <f>'Mise sur le marché'!I23</f>
        <v>454.61471445981994</v>
      </c>
      <c r="J8" s="497">
        <f>'Mise sur le marché'!J23</f>
        <v>462.68271555626308</v>
      </c>
      <c r="K8" s="497">
        <f>'Mise sur le marché'!K23</f>
        <v>475.58693820610898</v>
      </c>
      <c r="L8" s="497">
        <f>'Mise sur le marché'!L23</f>
        <v>479.6648671010729</v>
      </c>
      <c r="M8" s="497">
        <f>'Mise sur le marché'!M23</f>
        <v>490.40915048363433</v>
      </c>
      <c r="N8" s="48">
        <f>'Mise sur le marché'!N23</f>
        <v>488.38151468242</v>
      </c>
      <c r="O8" s="48">
        <f>'Mise sur le marché'!O23</f>
        <v>498.83699999999999</v>
      </c>
      <c r="P8" s="536">
        <f>'Mise sur le marché'!P23</f>
        <v>487.65657099999999</v>
      </c>
      <c r="Q8" s="49">
        <f>'Mise sur le marché'!Q23</f>
        <v>480.17669999999993</v>
      </c>
      <c r="R8" s="36"/>
      <c r="S8" s="36"/>
    </row>
    <row r="9" spans="2:65" s="1" customFormat="1" ht="17.5">
      <c r="B9" s="52" t="s">
        <v>145</v>
      </c>
      <c r="C9" s="53" t="s">
        <v>141</v>
      </c>
      <c r="D9" s="43" t="s">
        <v>11</v>
      </c>
      <c r="E9" s="497">
        <f>'Mise sur le marché'!E26</f>
        <v>464.32678420115502</v>
      </c>
      <c r="F9" s="497">
        <f>'Mise sur le marché'!F26</f>
        <v>550.35288786045817</v>
      </c>
      <c r="G9" s="497">
        <f>'Mise sur le marché'!G26</f>
        <v>553.63567049978383</v>
      </c>
      <c r="H9" s="497">
        <f>'Mise sur le marché'!H26</f>
        <v>626.23533545908845</v>
      </c>
      <c r="I9" s="497">
        <f>'Mise sur le marché'!I26</f>
        <v>634.01756564399057</v>
      </c>
      <c r="J9" s="497">
        <f>'Mise sur le marché'!J26</f>
        <v>641.85377335366763</v>
      </c>
      <c r="K9" s="497">
        <f>'Mise sur le marché'!K26</f>
        <v>649.48630455100363</v>
      </c>
      <c r="L9" s="497">
        <f>'Mise sur le marché'!L26</f>
        <v>667.45693347500662</v>
      </c>
      <c r="M9" s="497">
        <f>'Mise sur le marché'!M26</f>
        <v>679.78172068782692</v>
      </c>
      <c r="N9" s="48">
        <f>'Mise sur le marché'!N26</f>
        <v>676.97110887008796</v>
      </c>
      <c r="O9" s="48">
        <f>'Mise sur le marché'!O26</f>
        <v>666.62900000000002</v>
      </c>
      <c r="P9" s="536">
        <f>'Mise sur le marché'!P26</f>
        <v>696.35428899999988</v>
      </c>
      <c r="Q9" s="49">
        <f>'Mise sur le marché'!Q26</f>
        <v>706.96600200000012</v>
      </c>
      <c r="R9" s="36"/>
      <c r="S9" s="36"/>
    </row>
    <row r="10" spans="2:65" s="1" customFormat="1">
      <c r="B10" s="46" t="s">
        <v>44</v>
      </c>
      <c r="C10" s="53" t="s">
        <v>123</v>
      </c>
      <c r="D10" s="43" t="s">
        <v>11</v>
      </c>
      <c r="E10" s="92">
        <f>SUM(E13,E34:E37)</f>
        <v>226.224278</v>
      </c>
      <c r="F10" s="92">
        <f t="shared" ref="F10:M10" si="2">SUM(F13,F34:F37)</f>
        <v>230.45970499999999</v>
      </c>
      <c r="G10" s="92">
        <f t="shared" si="2"/>
        <v>233.79793299999966</v>
      </c>
      <c r="H10" s="92">
        <f t="shared" si="2"/>
        <v>244.08526200000003</v>
      </c>
      <c r="I10" s="92">
        <f t="shared" si="2"/>
        <v>252.22768899999966</v>
      </c>
      <c r="J10" s="92">
        <f t="shared" si="2"/>
        <v>256.44872499999957</v>
      </c>
      <c r="K10" s="92">
        <f t="shared" si="2"/>
        <v>266.70146199999999</v>
      </c>
      <c r="L10" s="92">
        <f t="shared" si="2"/>
        <v>280.54104499999994</v>
      </c>
      <c r="M10" s="92">
        <f t="shared" si="2"/>
        <v>299.4483469999995</v>
      </c>
      <c r="N10" s="92">
        <f>SUM(N13,N34:N37)</f>
        <v>313.07214535648529</v>
      </c>
      <c r="O10" s="92">
        <f>SUM(O13,O34:O37)</f>
        <v>323.75180089999998</v>
      </c>
      <c r="P10" s="537">
        <f>SUM(P13,P34:P37)</f>
        <v>330.42416889588549</v>
      </c>
      <c r="Q10" s="93">
        <f>SUM(Q13,Q34:Q37)</f>
        <v>356.9418300089535</v>
      </c>
      <c r="R10" s="36"/>
      <c r="S10" s="36"/>
    </row>
    <row r="11" spans="2:65" s="1" customFormat="1" ht="17.5">
      <c r="B11" s="52" t="s">
        <v>144</v>
      </c>
      <c r="C11" s="53" t="s">
        <v>289</v>
      </c>
      <c r="D11" s="43" t="s">
        <v>11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96">
        <v>282</v>
      </c>
      <c r="P11" s="536">
        <v>278</v>
      </c>
      <c r="Q11" s="49">
        <v>278</v>
      </c>
      <c r="R11" s="36"/>
      <c r="S11" s="36"/>
    </row>
    <row r="12" spans="2:65" s="1" customFormat="1" ht="17.5">
      <c r="B12" s="52" t="s">
        <v>145</v>
      </c>
      <c r="C12" s="53" t="s">
        <v>289</v>
      </c>
      <c r="D12" s="43" t="s">
        <v>11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96">
        <v>42</v>
      </c>
      <c r="P12" s="536">
        <v>52</v>
      </c>
      <c r="Q12" s="49">
        <v>74.883979999999795</v>
      </c>
      <c r="R12" s="36"/>
      <c r="S12" s="36"/>
    </row>
    <row r="13" spans="2:65" s="1" customFormat="1" ht="17.5">
      <c r="B13" s="52" t="s">
        <v>256</v>
      </c>
      <c r="C13" s="53" t="s">
        <v>123</v>
      </c>
      <c r="D13" s="43" t="s">
        <v>11</v>
      </c>
      <c r="E13" s="92">
        <f>E14+E15</f>
        <v>226.224278</v>
      </c>
      <c r="F13" s="92">
        <f t="shared" ref="F13:M13" si="3">F14+F15</f>
        <v>230.45970499999999</v>
      </c>
      <c r="G13" s="92">
        <f t="shared" si="3"/>
        <v>233.79793299999966</v>
      </c>
      <c r="H13" s="92">
        <f t="shared" si="3"/>
        <v>242.72026200000002</v>
      </c>
      <c r="I13" s="92">
        <f t="shared" si="3"/>
        <v>251.07771799999966</v>
      </c>
      <c r="J13" s="92">
        <f t="shared" si="3"/>
        <v>255.61007099999958</v>
      </c>
      <c r="K13" s="92">
        <f t="shared" si="3"/>
        <v>265.90481499999999</v>
      </c>
      <c r="L13" s="92">
        <f t="shared" si="3"/>
        <v>279.88404499999996</v>
      </c>
      <c r="M13" s="92">
        <f t="shared" si="3"/>
        <v>295.32209699999953</v>
      </c>
      <c r="N13" s="92">
        <f>N14+N15</f>
        <v>309.02581795648524</v>
      </c>
      <c r="O13" s="92">
        <f>SUM(O16:O33)</f>
        <v>319.38232999999997</v>
      </c>
      <c r="P13" s="537">
        <f>SUM(P16:P33)</f>
        <v>325.23880000000003</v>
      </c>
      <c r="Q13" s="93">
        <f>SUM(Q16:Q33)</f>
        <v>352.88397999999984</v>
      </c>
      <c r="R13" s="36"/>
      <c r="S13" s="36"/>
    </row>
    <row r="14" spans="2:65" s="1" customFormat="1" ht="17.5">
      <c r="B14" s="52" t="s">
        <v>144</v>
      </c>
      <c r="C14" s="53" t="s">
        <v>141</v>
      </c>
      <c r="D14" s="43" t="s">
        <v>11</v>
      </c>
      <c r="E14" s="96">
        <f>'Collecte et tri'!E38</f>
        <v>223.82427799999999</v>
      </c>
      <c r="F14" s="96">
        <f>'Collecte et tri'!F38</f>
        <v>228.479141</v>
      </c>
      <c r="G14" s="96">
        <f>'Collecte et tri'!G38</f>
        <v>231.618066128463</v>
      </c>
      <c r="H14" s="96">
        <f>'Collecte et tri'!H38</f>
        <v>237.01961200000002</v>
      </c>
      <c r="I14" s="96">
        <f>'Collecte et tri'!I38</f>
        <v>243.58392399999966</v>
      </c>
      <c r="J14" s="96">
        <f>'Collecte et tri'!J38</f>
        <v>249.06941799999959</v>
      </c>
      <c r="K14" s="96">
        <f>'Collecte et tri'!K38</f>
        <v>257.128713</v>
      </c>
      <c r="L14" s="96">
        <f>'Collecte et tri'!L38</f>
        <v>262.49864299999996</v>
      </c>
      <c r="M14" s="96">
        <f>'Collecte et tri'!M38</f>
        <v>269.03081899999955</v>
      </c>
      <c r="N14" s="96">
        <f>'Collecte et tri'!N38</f>
        <v>280.46895985677116</v>
      </c>
      <c r="O14" s="56"/>
      <c r="P14" s="554"/>
      <c r="Q14" s="113"/>
      <c r="R14" s="36"/>
      <c r="S14" s="124"/>
    </row>
    <row r="15" spans="2:65" s="1" customFormat="1" ht="17.5">
      <c r="B15" s="52" t="s">
        <v>145</v>
      </c>
      <c r="C15" s="53" t="s">
        <v>141</v>
      </c>
      <c r="D15" s="43" t="s">
        <v>11</v>
      </c>
      <c r="E15" s="96">
        <f>'Collecte et tri'!E39</f>
        <v>2.4</v>
      </c>
      <c r="F15" s="96">
        <f>'Collecte et tri'!F39</f>
        <v>1.980564</v>
      </c>
      <c r="G15" s="96">
        <f>'Collecte et tri'!G39</f>
        <v>2.1798668715366722</v>
      </c>
      <c r="H15" s="96">
        <f>'Collecte et tri'!H39</f>
        <v>5.7006499999999996</v>
      </c>
      <c r="I15" s="96">
        <f>'Collecte et tri'!I39</f>
        <v>7.4937940000000003</v>
      </c>
      <c r="J15" s="96">
        <f>'Collecte et tri'!J39</f>
        <v>6.5406529999999936</v>
      </c>
      <c r="K15" s="96">
        <f>'Collecte et tri'!K39</f>
        <v>8.7761019999999874</v>
      </c>
      <c r="L15" s="96">
        <f>'Collecte et tri'!L39</f>
        <v>17.385401999999988</v>
      </c>
      <c r="M15" s="96">
        <f>'Collecte et tri'!M39</f>
        <v>26.291277999999963</v>
      </c>
      <c r="N15" s="96">
        <f>'Collecte et tri'!N39</f>
        <v>28.556858099714066</v>
      </c>
      <c r="O15" s="56"/>
      <c r="P15" s="554"/>
      <c r="Q15" s="113"/>
      <c r="R15" s="36"/>
      <c r="S15" s="36"/>
    </row>
    <row r="16" spans="2:65" s="1" customFormat="1" ht="17.5">
      <c r="B16" s="52" t="s">
        <v>321</v>
      </c>
      <c r="C16" s="53" t="s">
        <v>141</v>
      </c>
      <c r="D16" s="43" t="s">
        <v>11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96">
        <f>'Collecte et tri'!O40</f>
        <v>21.491</v>
      </c>
      <c r="P16" s="538">
        <f>'Collecte et tri'!P40</f>
        <v>26.610850000000013</v>
      </c>
      <c r="Q16" s="97">
        <f>'Collecte et tri'!Q40</f>
        <v>34.218269999999983</v>
      </c>
      <c r="R16" s="36"/>
      <c r="S16" s="36"/>
    </row>
    <row r="17" spans="2:19" s="1" customFormat="1" ht="17.5">
      <c r="B17" s="52" t="s">
        <v>368</v>
      </c>
      <c r="C17" s="53" t="s">
        <v>141</v>
      </c>
      <c r="D17" s="43" t="s">
        <v>11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96">
        <f>'Collecte et tri'!O41</f>
        <v>0</v>
      </c>
      <c r="P17" s="538">
        <f>'Collecte et tri'!P41</f>
        <v>0</v>
      </c>
      <c r="Q17" s="97">
        <f>'Collecte et tri'!Q41</f>
        <v>0</v>
      </c>
      <c r="R17" s="36"/>
      <c r="S17" s="36"/>
    </row>
    <row r="18" spans="2:19" s="1" customFormat="1" ht="17.5">
      <c r="B18" s="52" t="s">
        <v>369</v>
      </c>
      <c r="C18" s="53" t="s">
        <v>141</v>
      </c>
      <c r="D18" s="43" t="s">
        <v>11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96">
        <f>'Collecte et tri'!O42</f>
        <v>93.492270000000005</v>
      </c>
      <c r="P18" s="538">
        <f>'Collecte et tri'!P42</f>
        <v>80.436770000000067</v>
      </c>
      <c r="Q18" s="97">
        <f>'Collecte et tri'!Q42</f>
        <v>84.88712000000001</v>
      </c>
      <c r="R18" s="36"/>
      <c r="S18" s="36"/>
    </row>
    <row r="19" spans="2:19" s="1" customFormat="1" ht="17.5">
      <c r="B19" s="52" t="s">
        <v>370</v>
      </c>
      <c r="C19" s="53" t="s">
        <v>141</v>
      </c>
      <c r="D19" s="43" t="s">
        <v>11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96">
        <f>'Collecte et tri'!O43</f>
        <v>28.835080000000001</v>
      </c>
      <c r="P19" s="538">
        <f>'Collecte et tri'!P43</f>
        <v>22.867030000000025</v>
      </c>
      <c r="Q19" s="97">
        <f>'Collecte et tri'!Q43</f>
        <v>23.988299999999981</v>
      </c>
      <c r="R19" s="36"/>
      <c r="S19" s="36"/>
    </row>
    <row r="20" spans="2:19" s="1" customFormat="1" ht="17.5">
      <c r="B20" s="52" t="s">
        <v>371</v>
      </c>
      <c r="C20" s="53" t="s">
        <v>141</v>
      </c>
      <c r="D20" s="43" t="s">
        <v>11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96">
        <f>'Collecte et tri'!O44</f>
        <v>37.949089999999998</v>
      </c>
      <c r="P20" s="538">
        <f>'Collecte et tri'!P44</f>
        <v>31.361449999999977</v>
      </c>
      <c r="Q20" s="97">
        <f>'Collecte et tri'!Q44</f>
        <v>32.892860000000013</v>
      </c>
      <c r="R20" s="36"/>
      <c r="S20" s="36"/>
    </row>
    <row r="21" spans="2:19" s="1" customFormat="1" ht="17.5">
      <c r="B21" s="52" t="s">
        <v>372</v>
      </c>
      <c r="C21" s="53" t="s">
        <v>141</v>
      </c>
      <c r="D21" s="43" t="s">
        <v>11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96">
        <f>'Collecte et tri'!O45</f>
        <v>5.1510699999999998</v>
      </c>
      <c r="P21" s="538">
        <f>'Collecte et tri'!P45</f>
        <v>7.9951100000000013</v>
      </c>
      <c r="Q21" s="97">
        <f>'Collecte et tri'!Q45</f>
        <v>8.6079699999999999</v>
      </c>
      <c r="R21" s="36"/>
      <c r="S21" s="36"/>
    </row>
    <row r="22" spans="2:19" s="1" customFormat="1" ht="15" customHeight="1">
      <c r="B22" s="52" t="s">
        <v>373</v>
      </c>
      <c r="C22" s="53" t="s">
        <v>141</v>
      </c>
      <c r="D22" s="43" t="s">
        <v>11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96">
        <f>'Collecte et tri'!O46</f>
        <v>68.629130000000004</v>
      </c>
      <c r="P22" s="538">
        <f>'Collecte et tri'!P46</f>
        <v>78.283860000000004</v>
      </c>
      <c r="Q22" s="97">
        <f>'Collecte et tri'!Q46</f>
        <v>81.279959999999917</v>
      </c>
      <c r="R22" s="36"/>
      <c r="S22" s="36"/>
    </row>
    <row r="23" spans="2:19" s="1" customFormat="1" ht="15" customHeight="1">
      <c r="B23" s="52" t="s">
        <v>374</v>
      </c>
      <c r="C23" s="53" t="s">
        <v>141</v>
      </c>
      <c r="D23" s="43" t="s">
        <v>11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96">
        <f>'Collecte et tri'!O47</f>
        <v>18.617180000000001</v>
      </c>
      <c r="P23" s="538">
        <f>'Collecte et tri'!P47</f>
        <v>18.928379999999997</v>
      </c>
      <c r="Q23" s="97">
        <f>'Collecte et tri'!Q47</f>
        <v>19.526329999999994</v>
      </c>
      <c r="R23" s="36"/>
      <c r="S23" s="36"/>
    </row>
    <row r="24" spans="2:19" s="1" customFormat="1" ht="15" customHeight="1">
      <c r="B24" s="52" t="s">
        <v>375</v>
      </c>
      <c r="C24" s="53" t="s">
        <v>141</v>
      </c>
      <c r="D24" s="43" t="s">
        <v>11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96">
        <f>'Collecte et tri'!O48</f>
        <v>0</v>
      </c>
      <c r="P24" s="538">
        <f>'Collecte et tri'!P48</f>
        <v>1.62683</v>
      </c>
      <c r="Q24" s="97">
        <f>'Collecte et tri'!Q48</f>
        <v>1.6931799999999997</v>
      </c>
      <c r="R24" s="36"/>
      <c r="S24" s="36"/>
    </row>
    <row r="25" spans="2:19" s="1" customFormat="1" ht="15" customHeight="1">
      <c r="B25" s="52" t="s">
        <v>376</v>
      </c>
      <c r="C25" s="53" t="s">
        <v>141</v>
      </c>
      <c r="D25" s="43" t="s">
        <v>11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96">
        <f>'Collecte et tri'!O49</f>
        <v>38.831009999999999</v>
      </c>
      <c r="P25" s="538">
        <f>'Collecte et tri'!P49</f>
        <v>46.365929999999935</v>
      </c>
      <c r="Q25" s="97">
        <f>'Collecte et tri'!Q49</f>
        <v>47.866249999999987</v>
      </c>
      <c r="R25" s="36"/>
      <c r="S25" s="36"/>
    </row>
    <row r="26" spans="2:19" s="1" customFormat="1" ht="15" customHeight="1">
      <c r="B26" s="52" t="s">
        <v>377</v>
      </c>
      <c r="C26" s="53" t="s">
        <v>141</v>
      </c>
      <c r="D26" s="43" t="s">
        <v>11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96">
        <f>'Collecte et tri'!O50</f>
        <v>2.44028</v>
      </c>
      <c r="P26" s="538">
        <f>'Collecte et tri'!P50</f>
        <v>2.0452499999999998</v>
      </c>
      <c r="Q26" s="97">
        <f>'Collecte et tri'!Q50</f>
        <v>2.26166</v>
      </c>
      <c r="R26" s="36"/>
      <c r="S26" s="36"/>
    </row>
    <row r="27" spans="2:19" s="1" customFormat="1" ht="15" customHeight="1">
      <c r="B27" s="52" t="s">
        <v>378</v>
      </c>
      <c r="C27" s="53" t="s">
        <v>141</v>
      </c>
      <c r="D27" s="43" t="s">
        <v>11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96">
        <f>'Collecte et tri'!O51</f>
        <v>3.0082599999999999</v>
      </c>
      <c r="P27" s="538">
        <f>'Collecte et tri'!P51</f>
        <v>3.7101299999999999</v>
      </c>
      <c r="Q27" s="97">
        <f>'Collecte et tri'!Q51</f>
        <v>3.8989300000000005</v>
      </c>
      <c r="R27" s="36"/>
      <c r="S27" s="36"/>
    </row>
    <row r="28" spans="2:19" s="1" customFormat="1" ht="15" customHeight="1">
      <c r="B28" s="52" t="s">
        <v>379</v>
      </c>
      <c r="C28" s="53" t="s">
        <v>141</v>
      </c>
      <c r="D28" s="43" t="s">
        <v>11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96">
        <f>'Collecte et tri'!O52</f>
        <v>0.89256000000000002</v>
      </c>
      <c r="P28" s="538">
        <f>'Collecte et tri'!P52</f>
        <v>0.84373000000000009</v>
      </c>
      <c r="Q28" s="97">
        <f>'Collecte et tri'!Q52</f>
        <v>0.87978000000000001</v>
      </c>
      <c r="R28" s="36"/>
      <c r="S28" s="36"/>
    </row>
    <row r="29" spans="2:19" s="1" customFormat="1" ht="15" customHeight="1">
      <c r="B29" s="52" t="s">
        <v>380</v>
      </c>
      <c r="C29" s="53" t="s">
        <v>141</v>
      </c>
      <c r="D29" s="43" t="s">
        <v>11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96">
        <f>'Collecte et tri'!O53</f>
        <v>0</v>
      </c>
      <c r="P29" s="538">
        <f>'Collecte et tri'!P53</f>
        <v>0</v>
      </c>
      <c r="Q29" s="97">
        <f>'Collecte et tri'!Q53</f>
        <v>0</v>
      </c>
      <c r="R29" s="36"/>
      <c r="S29" s="36"/>
    </row>
    <row r="30" spans="2:19" s="1" customFormat="1" ht="15" customHeight="1">
      <c r="B30" s="52" t="s">
        <v>381</v>
      </c>
      <c r="C30" s="53" t="s">
        <v>141</v>
      </c>
      <c r="D30" s="43" t="s">
        <v>11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96">
        <f>'Collecte et tri'!O54</f>
        <v>4.5400000000000003E-2</v>
      </c>
      <c r="P30" s="538">
        <f>'Collecte et tri'!P54</f>
        <v>4.1634800000000016</v>
      </c>
      <c r="Q30" s="97">
        <f>'Collecte et tri'!Q54</f>
        <v>10.883370000000003</v>
      </c>
      <c r="R30" s="36"/>
      <c r="S30" s="36"/>
    </row>
    <row r="31" spans="2:19" s="1" customFormat="1" ht="15" customHeight="1">
      <c r="B31" s="52" t="s">
        <v>382</v>
      </c>
      <c r="C31" s="53" t="s">
        <v>141</v>
      </c>
      <c r="D31" s="43" t="s">
        <v>11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96">
        <f>'Collecte et tri'!O55</f>
        <v>0</v>
      </c>
      <c r="P31" s="538">
        <f>'Collecte et tri'!P55</f>
        <v>0</v>
      </c>
      <c r="Q31" s="97">
        <f>'Collecte et tri'!Q55</f>
        <v>0</v>
      </c>
      <c r="R31" s="36"/>
      <c r="S31" s="36"/>
    </row>
    <row r="32" spans="2:19" s="1" customFormat="1" ht="15" customHeight="1">
      <c r="B32" s="52" t="s">
        <v>383</v>
      </c>
      <c r="C32" s="53" t="s">
        <v>141</v>
      </c>
      <c r="D32" s="43" t="s">
        <v>11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96">
        <f>'Collecte et tri'!O56</f>
        <v>0</v>
      </c>
      <c r="P32" s="538">
        <f>'Collecte et tri'!P56</f>
        <v>0</v>
      </c>
      <c r="Q32" s="97">
        <f>'Collecte et tri'!Q56</f>
        <v>0</v>
      </c>
      <c r="R32" s="36"/>
      <c r="S32" s="36"/>
    </row>
    <row r="33" spans="2:19" s="1" customFormat="1" ht="17.5">
      <c r="B33" s="52" t="s">
        <v>384</v>
      </c>
      <c r="C33" s="53" t="s">
        <v>141</v>
      </c>
      <c r="D33" s="43" t="s">
        <v>11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96">
        <f>'Collecte et tri'!O57</f>
        <v>0</v>
      </c>
      <c r="P33" s="538">
        <f>'Collecte et tri'!P57</f>
        <v>0</v>
      </c>
      <c r="Q33" s="97">
        <f>'Collecte et tri'!Q57</f>
        <v>0</v>
      </c>
      <c r="R33" s="36"/>
      <c r="S33" s="36"/>
    </row>
    <row r="34" spans="2:19" s="1" customFormat="1" ht="17.5">
      <c r="B34" s="52" t="s">
        <v>257</v>
      </c>
      <c r="C34" s="53" t="s">
        <v>289</v>
      </c>
      <c r="D34" s="43" t="s">
        <v>11</v>
      </c>
      <c r="E34" s="56"/>
      <c r="F34" s="56"/>
      <c r="G34" s="56"/>
      <c r="H34" s="56"/>
      <c r="I34" s="56"/>
      <c r="J34" s="56"/>
      <c r="K34" s="96">
        <v>0</v>
      </c>
      <c r="L34" s="96">
        <v>0</v>
      </c>
      <c r="M34" s="95">
        <v>0.3664</v>
      </c>
      <c r="N34" s="96">
        <v>0.2320014</v>
      </c>
      <c r="O34" s="96">
        <v>0.77729999999999999</v>
      </c>
      <c r="P34" s="538">
        <v>0.63350223077466905</v>
      </c>
      <c r="Q34" s="97">
        <v>0.55485380116959104</v>
      </c>
      <c r="R34" s="36"/>
      <c r="S34" s="112"/>
    </row>
    <row r="35" spans="2:19" s="1" customFormat="1" ht="17.5">
      <c r="B35" s="52" t="s">
        <v>184</v>
      </c>
      <c r="C35" s="53" t="s">
        <v>289</v>
      </c>
      <c r="D35" s="43" t="s">
        <v>11</v>
      </c>
      <c r="E35" s="56"/>
      <c r="F35" s="56"/>
      <c r="G35" s="56"/>
      <c r="H35" s="56"/>
      <c r="I35" s="56"/>
      <c r="J35" s="56"/>
      <c r="K35" s="56"/>
      <c r="L35" s="56"/>
      <c r="M35" s="95">
        <v>2.3279999999999998</v>
      </c>
      <c r="N35" s="96">
        <v>3.7845260000000018</v>
      </c>
      <c r="O35" s="96">
        <v>3.5241709000000001</v>
      </c>
      <c r="P35" s="538">
        <v>4.47886666511077</v>
      </c>
      <c r="Q35" s="97">
        <v>3.4429962077840401</v>
      </c>
      <c r="R35" s="36"/>
      <c r="S35" s="36"/>
    </row>
    <row r="36" spans="2:19" s="1" customFormat="1" ht="17.5">
      <c r="B36" s="52" t="s">
        <v>185</v>
      </c>
      <c r="C36" s="53" t="s">
        <v>289</v>
      </c>
      <c r="D36" s="43" t="s">
        <v>11</v>
      </c>
      <c r="E36" s="54"/>
      <c r="F36" s="54"/>
      <c r="G36" s="54"/>
      <c r="H36" s="55"/>
      <c r="I36" s="56"/>
      <c r="J36" s="56"/>
      <c r="K36" s="95">
        <v>2.128E-2</v>
      </c>
      <c r="L36" s="95">
        <v>0</v>
      </c>
      <c r="M36" s="95">
        <v>0.38764999999999999</v>
      </c>
      <c r="N36" s="96">
        <v>2.98E-2</v>
      </c>
      <c r="O36" s="96">
        <v>6.8000000000000005E-2</v>
      </c>
      <c r="P36" s="538">
        <v>7.2999999999999995E-2</v>
      </c>
      <c r="Q36" s="97">
        <v>0.06</v>
      </c>
      <c r="R36" s="36"/>
      <c r="S36" s="36"/>
    </row>
    <row r="37" spans="2:19" s="1" customFormat="1" ht="17.5">
      <c r="B37" s="52" t="s">
        <v>258</v>
      </c>
      <c r="C37" s="53" t="s">
        <v>141</v>
      </c>
      <c r="D37" s="43" t="s">
        <v>11</v>
      </c>
      <c r="E37" s="95">
        <f>'Collecte et tri'!E58</f>
        <v>0</v>
      </c>
      <c r="F37" s="95">
        <f>'Collecte et tri'!F58</f>
        <v>0</v>
      </c>
      <c r="G37" s="95">
        <f>'Collecte et tri'!G58</f>
        <v>0</v>
      </c>
      <c r="H37" s="95">
        <f>'Collecte et tri'!H58</f>
        <v>1.365</v>
      </c>
      <c r="I37" s="95">
        <f>'Collecte et tri'!I58</f>
        <v>1.1499710000000001</v>
      </c>
      <c r="J37" s="95">
        <f>'Collecte et tri'!J58</f>
        <v>0.83865400000000001</v>
      </c>
      <c r="K37" s="95">
        <f>'Collecte et tri'!K58</f>
        <v>0.77536700000000003</v>
      </c>
      <c r="L37" s="95">
        <f>'Collecte et tri'!L58</f>
        <v>0.65700000000000003</v>
      </c>
      <c r="M37" s="95">
        <f>'Collecte et tri'!M58</f>
        <v>1.0442</v>
      </c>
      <c r="N37" s="96">
        <f>'Collecte et tri'!N58</f>
        <v>0</v>
      </c>
      <c r="O37" s="96">
        <f>'Collecte et tri'!O58</f>
        <v>0</v>
      </c>
      <c r="P37" s="538">
        <f>'Collecte et tri'!P58</f>
        <v>0</v>
      </c>
      <c r="Q37" s="97">
        <f>'Collecte et tri'!Q58</f>
        <v>0</v>
      </c>
      <c r="R37" s="36"/>
      <c r="S37" s="36"/>
    </row>
    <row r="38" spans="2:19" s="1" customFormat="1">
      <c r="B38" s="114" t="s">
        <v>92</v>
      </c>
      <c r="C38" s="53" t="s">
        <v>123</v>
      </c>
      <c r="D38" s="106" t="s">
        <v>3</v>
      </c>
      <c r="E38" s="115">
        <f t="shared" ref="E38:O38" si="4">E10/E7</f>
        <v>0.21924413702548318</v>
      </c>
      <c r="F38" s="115">
        <f t="shared" si="4"/>
        <v>0.21725934059075364</v>
      </c>
      <c r="G38" s="115">
        <f t="shared" si="4"/>
        <v>0.21922924133759453</v>
      </c>
      <c r="H38" s="115">
        <f t="shared" si="4"/>
        <v>0.22588404989492711</v>
      </c>
      <c r="I38" s="115">
        <f t="shared" si="4"/>
        <v>0.23169227443443766</v>
      </c>
      <c r="J38" s="115">
        <f t="shared" si="4"/>
        <v>0.23217768500621408</v>
      </c>
      <c r="K38" s="115">
        <f t="shared" si="4"/>
        <v>0.23705253299458037</v>
      </c>
      <c r="L38" s="115">
        <f t="shared" si="4"/>
        <v>0.24456081722020578</v>
      </c>
      <c r="M38" s="115">
        <f t="shared" si="4"/>
        <v>0.25589701165607798</v>
      </c>
      <c r="N38" s="115">
        <f t="shared" si="4"/>
        <v>0.26865013990538206</v>
      </c>
      <c r="O38" s="115">
        <f t="shared" si="4"/>
        <v>0.27778742657443461</v>
      </c>
      <c r="P38" s="564">
        <f t="shared" ref="P38" si="5">P10/P7</f>
        <v>0.27907190724237574</v>
      </c>
      <c r="Q38" s="125">
        <f>Q10/Q7</f>
        <v>0.30067306096192764</v>
      </c>
      <c r="R38" s="36"/>
      <c r="S38" s="36"/>
    </row>
    <row r="39" spans="2:19" s="1" customFormat="1" ht="15" thickBot="1">
      <c r="B39" s="61" t="s">
        <v>259</v>
      </c>
      <c r="C39" s="76" t="s">
        <v>123</v>
      </c>
      <c r="D39" s="63" t="s">
        <v>3</v>
      </c>
      <c r="E39" s="64">
        <f t="shared" ref="E39:M39" si="6">E14/E8</f>
        <v>0.3943967071430835</v>
      </c>
      <c r="F39" s="64">
        <f t="shared" si="6"/>
        <v>0.44764224621926973</v>
      </c>
      <c r="G39" s="64">
        <f t="shared" si="6"/>
        <v>0.45165702468376961</v>
      </c>
      <c r="H39" s="64">
        <f t="shared" si="6"/>
        <v>0.52167625623649228</v>
      </c>
      <c r="I39" s="64">
        <f t="shared" si="6"/>
        <v>0.53580299152751742</v>
      </c>
      <c r="J39" s="64">
        <f t="shared" si="6"/>
        <v>0.53831580395337308</v>
      </c>
      <c r="K39" s="64">
        <f t="shared" si="6"/>
        <v>0.5406555402254678</v>
      </c>
      <c r="L39" s="64">
        <f t="shared" si="6"/>
        <v>0.54725426230703567</v>
      </c>
      <c r="M39" s="64">
        <f t="shared" si="6"/>
        <v>0.5485844192235918</v>
      </c>
      <c r="N39" s="64">
        <f>N14/N8</f>
        <v>0.57428250542846981</v>
      </c>
      <c r="O39" s="64">
        <f t="shared" ref="O39:P40" si="7">O11/O8</f>
        <v>0.56531492250975768</v>
      </c>
      <c r="P39" s="438">
        <f t="shared" si="7"/>
        <v>0.5700733190776589</v>
      </c>
      <c r="Q39" s="65">
        <f>Q11/Q8</f>
        <v>0.57895353939497696</v>
      </c>
      <c r="R39" s="36"/>
      <c r="S39" s="36"/>
    </row>
    <row r="40" spans="2:19" s="1" customFormat="1" ht="15" thickBot="1">
      <c r="B40" s="558" t="s">
        <v>260</v>
      </c>
      <c r="C40" s="559" t="s">
        <v>123</v>
      </c>
      <c r="D40" s="560" t="s">
        <v>3</v>
      </c>
      <c r="E40" s="561">
        <f>E15/E9</f>
        <v>5.168773548416012E-3</v>
      </c>
      <c r="F40" s="561">
        <f t="shared" ref="F40:N40" si="8">F15/F9</f>
        <v>3.598716466628538E-3</v>
      </c>
      <c r="G40" s="561">
        <f t="shared" si="8"/>
        <v>3.9373670948059398E-3</v>
      </c>
      <c r="H40" s="561">
        <f t="shared" si="8"/>
        <v>9.1030474922353197E-3</v>
      </c>
      <c r="I40" s="561">
        <f t="shared" si="8"/>
        <v>1.1819536880477956E-2</v>
      </c>
      <c r="J40" s="561">
        <f t="shared" si="8"/>
        <v>1.0190254029084021E-2</v>
      </c>
      <c r="K40" s="561">
        <f t="shared" si="8"/>
        <v>1.3512374223297895E-2</v>
      </c>
      <c r="L40" s="561">
        <f t="shared" si="8"/>
        <v>2.6047226612038777E-2</v>
      </c>
      <c r="M40" s="561">
        <f t="shared" si="8"/>
        <v>3.8676059093494787E-2</v>
      </c>
      <c r="N40" s="561">
        <f t="shared" si="8"/>
        <v>4.2183274478843645E-2</v>
      </c>
      <c r="O40" s="561">
        <f t="shared" si="7"/>
        <v>6.3003559701123119E-2</v>
      </c>
      <c r="P40" s="562">
        <f t="shared" si="7"/>
        <v>7.4674631608393827E-2</v>
      </c>
      <c r="Q40" s="563">
        <f>Q12/Q9</f>
        <v>0.10592302853058524</v>
      </c>
      <c r="R40" s="36"/>
      <c r="S40" s="36"/>
    </row>
    <row r="41" spans="2:19" s="1" customFormat="1" ht="15" thickBot="1">
      <c r="B41" s="83"/>
      <c r="C41" s="83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83"/>
      <c r="O41" s="36"/>
      <c r="P41" s="36"/>
      <c r="Q41" s="36"/>
      <c r="R41" s="36"/>
      <c r="S41" s="36"/>
    </row>
    <row r="42" spans="2:19" s="1" customFormat="1" ht="18">
      <c r="B42" s="38" t="s">
        <v>7</v>
      </c>
      <c r="C42" s="101"/>
      <c r="D42" s="39" t="s">
        <v>0</v>
      </c>
      <c r="E42" s="40">
        <v>2009</v>
      </c>
      <c r="F42" s="40">
        <v>2010</v>
      </c>
      <c r="G42" s="40">
        <v>2011</v>
      </c>
      <c r="H42" s="40">
        <v>2012</v>
      </c>
      <c r="I42" s="40">
        <v>2013</v>
      </c>
      <c r="J42" s="40">
        <v>2014</v>
      </c>
      <c r="K42" s="40">
        <v>2015</v>
      </c>
      <c r="L42" s="40">
        <v>2016</v>
      </c>
      <c r="M42" s="40">
        <v>2017</v>
      </c>
      <c r="N42" s="40">
        <v>2018</v>
      </c>
      <c r="O42" s="40">
        <v>2019</v>
      </c>
      <c r="P42" s="434">
        <v>2020</v>
      </c>
      <c r="Q42" s="41">
        <v>2021</v>
      </c>
      <c r="R42" s="36"/>
      <c r="S42" s="36"/>
    </row>
    <row r="43" spans="2:19" s="1" customFormat="1">
      <c r="B43" s="42" t="s">
        <v>6</v>
      </c>
      <c r="C43" s="390"/>
      <c r="D43" s="43"/>
      <c r="E43" s="44">
        <v>2010</v>
      </c>
      <c r="F43" s="44">
        <v>2011</v>
      </c>
      <c r="G43" s="44">
        <v>2012</v>
      </c>
      <c r="H43" s="44">
        <v>2013</v>
      </c>
      <c r="I43" s="44">
        <v>2014</v>
      </c>
      <c r="J43" s="44">
        <v>2015</v>
      </c>
      <c r="K43" s="44">
        <v>2016</v>
      </c>
      <c r="L43" s="44">
        <v>2017</v>
      </c>
      <c r="M43" s="44">
        <v>2018</v>
      </c>
      <c r="N43" s="44">
        <v>2019</v>
      </c>
      <c r="O43" s="44">
        <v>2020</v>
      </c>
      <c r="P43" s="533">
        <v>2021</v>
      </c>
      <c r="Q43" s="45">
        <v>2022</v>
      </c>
      <c r="R43" s="36"/>
      <c r="S43" s="36"/>
    </row>
    <row r="44" spans="2:19" s="1" customFormat="1" ht="30" customHeight="1">
      <c r="B44" s="654" t="s">
        <v>266</v>
      </c>
      <c r="C44" s="655"/>
      <c r="D44" s="655"/>
      <c r="E44" s="655"/>
      <c r="F44" s="655"/>
      <c r="G44" s="655"/>
      <c r="H44" s="655"/>
      <c r="I44" s="655"/>
      <c r="J44" s="655"/>
      <c r="K44" s="655"/>
      <c r="L44" s="655"/>
      <c r="M44" s="655"/>
      <c r="N44" s="655"/>
      <c r="O44" s="655"/>
      <c r="P44" s="655"/>
      <c r="Q44" s="656"/>
      <c r="R44" s="36"/>
      <c r="S44" s="36"/>
    </row>
    <row r="45" spans="2:19" s="1" customFormat="1" ht="17.5">
      <c r="B45" s="52" t="s">
        <v>61</v>
      </c>
      <c r="C45" s="53" t="s">
        <v>289</v>
      </c>
      <c r="D45" s="43" t="s">
        <v>3</v>
      </c>
      <c r="E45" s="68"/>
      <c r="F45" s="68"/>
      <c r="G45" s="68"/>
      <c r="H45" s="69"/>
      <c r="I45" s="56"/>
      <c r="J45" s="56"/>
      <c r="K45" s="70">
        <v>0.49</v>
      </c>
      <c r="L45" s="70">
        <v>0.49</v>
      </c>
      <c r="M45" s="71">
        <v>0.52</v>
      </c>
      <c r="N45" s="71">
        <v>0.48</v>
      </c>
      <c r="O45" s="71">
        <v>0.4</v>
      </c>
      <c r="P45" s="534">
        <v>0.374</v>
      </c>
      <c r="Q45" s="524">
        <v>0.32900000000000001</v>
      </c>
      <c r="R45" s="36"/>
      <c r="S45" s="36"/>
    </row>
    <row r="46" spans="2:19" s="1" customFormat="1" ht="17.5">
      <c r="B46" s="52" t="s">
        <v>62</v>
      </c>
      <c r="C46" s="53" t="s">
        <v>289</v>
      </c>
      <c r="D46" s="43" t="s">
        <v>3</v>
      </c>
      <c r="E46" s="68"/>
      <c r="F46" s="68"/>
      <c r="G46" s="68"/>
      <c r="H46" s="69"/>
      <c r="I46" s="56"/>
      <c r="J46" s="56"/>
      <c r="K46" s="70">
        <v>0.48</v>
      </c>
      <c r="L46" s="70">
        <v>0.48</v>
      </c>
      <c r="M46" s="71">
        <v>0.43</v>
      </c>
      <c r="N46" s="71">
        <v>0.48</v>
      </c>
      <c r="O46" s="71">
        <v>0.53</v>
      </c>
      <c r="P46" s="534">
        <v>0.54200000000000004</v>
      </c>
      <c r="Q46" s="524">
        <v>0.57299999999999995</v>
      </c>
      <c r="R46" s="36"/>
      <c r="S46" s="36"/>
    </row>
    <row r="47" spans="2:19" s="1" customFormat="1" ht="17.5">
      <c r="B47" s="52" t="s">
        <v>63</v>
      </c>
      <c r="C47" s="53" t="s">
        <v>289</v>
      </c>
      <c r="D47" s="43" t="s">
        <v>3</v>
      </c>
      <c r="E47" s="68"/>
      <c r="F47" s="68"/>
      <c r="G47" s="68"/>
      <c r="H47" s="69"/>
      <c r="I47" s="56"/>
      <c r="J47" s="56"/>
      <c r="K47" s="70">
        <v>0.03</v>
      </c>
      <c r="L47" s="70">
        <v>0.04</v>
      </c>
      <c r="M47" s="71">
        <v>0.05</v>
      </c>
      <c r="N47" s="71">
        <v>0.04</v>
      </c>
      <c r="O47" s="71">
        <v>7.0000000000000007E-2</v>
      </c>
      <c r="P47" s="534">
        <v>8.4000000000000005E-2</v>
      </c>
      <c r="Q47" s="524">
        <v>9.8000000000000004E-2</v>
      </c>
      <c r="R47" s="36"/>
      <c r="S47" s="36"/>
    </row>
    <row r="48" spans="2:19" s="1" customFormat="1">
      <c r="B48" s="46" t="s">
        <v>268</v>
      </c>
      <c r="C48" s="53" t="s">
        <v>289</v>
      </c>
      <c r="D48" s="43" t="s">
        <v>3</v>
      </c>
      <c r="E48" s="68"/>
      <c r="F48" s="68"/>
      <c r="G48" s="68"/>
      <c r="H48" s="69"/>
      <c r="I48" s="56"/>
      <c r="J48" s="56"/>
      <c r="K48" s="70">
        <f>1-(K49+K50)</f>
        <v>0.78500000000000003</v>
      </c>
      <c r="L48" s="70">
        <f>1-(L49+L50)</f>
        <v>0.79699999999999993</v>
      </c>
      <c r="M48" s="70">
        <f>1-(M49+M50)</f>
        <v>0.71</v>
      </c>
      <c r="N48" s="71">
        <v>0.73</v>
      </c>
      <c r="O48" s="71">
        <f>1-(O49+O50)</f>
        <v>0.78</v>
      </c>
      <c r="P48" s="534">
        <v>0.74399999999999999</v>
      </c>
      <c r="Q48" s="524">
        <v>0.747</v>
      </c>
      <c r="R48" s="36"/>
      <c r="S48" s="36"/>
    </row>
    <row r="49" spans="2:22" s="1" customFormat="1">
      <c r="B49" s="46" t="s">
        <v>64</v>
      </c>
      <c r="C49" s="53" t="s">
        <v>289</v>
      </c>
      <c r="D49" s="43" t="s">
        <v>3</v>
      </c>
      <c r="E49" s="68"/>
      <c r="F49" s="68"/>
      <c r="G49" s="68"/>
      <c r="H49" s="69"/>
      <c r="I49" s="56"/>
      <c r="J49" s="56"/>
      <c r="K49" s="70">
        <v>0.20499999999999999</v>
      </c>
      <c r="L49" s="70">
        <v>0.19700000000000001</v>
      </c>
      <c r="M49" s="71">
        <v>0.27</v>
      </c>
      <c r="N49" s="71">
        <v>0.26</v>
      </c>
      <c r="O49" s="71">
        <v>0.22</v>
      </c>
      <c r="P49" s="534">
        <v>0.253</v>
      </c>
      <c r="Q49" s="524">
        <v>0.251</v>
      </c>
      <c r="R49" s="36"/>
      <c r="S49" s="122"/>
    </row>
    <row r="50" spans="2:22" s="1" customFormat="1">
      <c r="B50" s="46" t="s">
        <v>45</v>
      </c>
      <c r="C50" s="53" t="s">
        <v>289</v>
      </c>
      <c r="D50" s="43" t="s">
        <v>3</v>
      </c>
      <c r="E50" s="68"/>
      <c r="F50" s="68"/>
      <c r="G50" s="68"/>
      <c r="H50" s="69"/>
      <c r="I50" s="56"/>
      <c r="J50" s="56"/>
      <c r="K50" s="70">
        <v>0.01</v>
      </c>
      <c r="L50" s="70">
        <v>6.0000000000000001E-3</v>
      </c>
      <c r="M50" s="71">
        <v>0.02</v>
      </c>
      <c r="N50" s="71">
        <v>0.01</v>
      </c>
      <c r="O50" s="71">
        <v>0</v>
      </c>
      <c r="P50" s="534">
        <v>3.0000000000000001E-3</v>
      </c>
      <c r="Q50" s="524">
        <v>2E-3</v>
      </c>
      <c r="R50" s="36"/>
      <c r="S50" s="36"/>
    </row>
    <row r="51" spans="2:22" s="1" customFormat="1">
      <c r="B51" s="46" t="s">
        <v>48</v>
      </c>
      <c r="C51" s="53" t="s">
        <v>289</v>
      </c>
      <c r="D51" s="43" t="s">
        <v>3</v>
      </c>
      <c r="E51" s="54"/>
      <c r="F51" s="54"/>
      <c r="G51" s="54"/>
      <c r="H51" s="55"/>
      <c r="I51" s="72"/>
      <c r="J51" s="72"/>
      <c r="K51" s="70">
        <v>0.27400000000000002</v>
      </c>
      <c r="L51" s="70">
        <v>0.33</v>
      </c>
      <c r="M51" s="71">
        <v>0.27100000000000002</v>
      </c>
      <c r="N51" s="71">
        <v>0.157</v>
      </c>
      <c r="O51" s="71">
        <v>0.31</v>
      </c>
      <c r="P51" s="534">
        <v>0</v>
      </c>
      <c r="Q51" s="524">
        <v>0</v>
      </c>
      <c r="R51" s="36"/>
      <c r="S51" s="36"/>
    </row>
    <row r="52" spans="2:22" s="1" customFormat="1" ht="30" customHeight="1">
      <c r="B52" s="654" t="s">
        <v>267</v>
      </c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655"/>
      <c r="Q52" s="656"/>
      <c r="R52" s="36"/>
      <c r="S52" s="36"/>
    </row>
    <row r="53" spans="2:22" s="1" customFormat="1" ht="17.5">
      <c r="B53" s="52" t="s">
        <v>61</v>
      </c>
      <c r="C53" s="53" t="s">
        <v>289</v>
      </c>
      <c r="D53" s="43" t="s">
        <v>3</v>
      </c>
      <c r="E53" s="68"/>
      <c r="F53" s="68"/>
      <c r="G53" s="68"/>
      <c r="H53" s="69"/>
      <c r="I53" s="56"/>
      <c r="J53" s="56"/>
      <c r="K53" s="72"/>
      <c r="L53" s="72"/>
      <c r="M53" s="72"/>
      <c r="N53" s="72"/>
      <c r="O53" s="71">
        <v>0.56999999999999995</v>
      </c>
      <c r="P53" s="534">
        <v>0.54400000000000004</v>
      </c>
      <c r="Q53" s="524">
        <v>0.58899999999999997</v>
      </c>
      <c r="R53" s="36"/>
      <c r="S53" s="36"/>
      <c r="T53" s="35"/>
      <c r="U53" s="35"/>
      <c r="V53" s="35"/>
    </row>
    <row r="54" spans="2:22" s="1" customFormat="1" ht="17.5">
      <c r="B54" s="52" t="s">
        <v>62</v>
      </c>
      <c r="C54" s="53" t="s">
        <v>289</v>
      </c>
      <c r="D54" s="43" t="s">
        <v>3</v>
      </c>
      <c r="E54" s="68"/>
      <c r="F54" s="68"/>
      <c r="G54" s="68"/>
      <c r="H54" s="69"/>
      <c r="I54" s="56"/>
      <c r="J54" s="56"/>
      <c r="K54" s="72"/>
      <c r="L54" s="72"/>
      <c r="M54" s="72"/>
      <c r="N54" s="72"/>
      <c r="O54" s="71">
        <v>0.43</v>
      </c>
      <c r="P54" s="534">
        <v>0.41899999999999998</v>
      </c>
      <c r="Q54" s="524">
        <v>0.40400000000000003</v>
      </c>
      <c r="R54" s="36"/>
      <c r="S54" s="36"/>
    </row>
    <row r="55" spans="2:22" s="1" customFormat="1" ht="17.5">
      <c r="B55" s="52" t="s">
        <v>63</v>
      </c>
      <c r="C55" s="53" t="s">
        <v>289</v>
      </c>
      <c r="D55" s="43" t="s">
        <v>3</v>
      </c>
      <c r="E55" s="68"/>
      <c r="F55" s="68"/>
      <c r="G55" s="68"/>
      <c r="H55" s="69"/>
      <c r="I55" s="56"/>
      <c r="J55" s="56"/>
      <c r="K55" s="72"/>
      <c r="L55" s="72"/>
      <c r="M55" s="72"/>
      <c r="N55" s="72"/>
      <c r="O55" s="71">
        <v>0</v>
      </c>
      <c r="P55" s="534">
        <v>1.0999999999999999E-2</v>
      </c>
      <c r="Q55" s="524">
        <v>7.0000000000000001E-3</v>
      </c>
      <c r="R55" s="36"/>
      <c r="S55" s="36"/>
    </row>
    <row r="56" spans="2:22" s="1" customFormat="1">
      <c r="B56" s="46" t="s">
        <v>268</v>
      </c>
      <c r="C56" s="53" t="s">
        <v>289</v>
      </c>
      <c r="D56" s="43" t="s">
        <v>3</v>
      </c>
      <c r="E56" s="68"/>
      <c r="F56" s="68"/>
      <c r="G56" s="68"/>
      <c r="H56" s="69"/>
      <c r="I56" s="56"/>
      <c r="J56" s="56"/>
      <c r="K56" s="56"/>
      <c r="L56" s="56"/>
      <c r="M56" s="56"/>
      <c r="N56" s="72"/>
      <c r="O56" s="71">
        <f>1-(O57+O58)</f>
        <v>0.7</v>
      </c>
      <c r="P56" s="534">
        <v>0.63500000000000001</v>
      </c>
      <c r="Q56" s="524">
        <v>0.64500000000000002</v>
      </c>
      <c r="R56" s="36"/>
      <c r="S56" s="36"/>
    </row>
    <row r="57" spans="2:22" s="1" customFormat="1">
      <c r="B57" s="46" t="s">
        <v>64</v>
      </c>
      <c r="C57" s="53" t="s">
        <v>289</v>
      </c>
      <c r="D57" s="43" t="s">
        <v>3</v>
      </c>
      <c r="E57" s="68"/>
      <c r="F57" s="68"/>
      <c r="G57" s="68"/>
      <c r="H57" s="69"/>
      <c r="I57" s="56"/>
      <c r="J57" s="56"/>
      <c r="K57" s="72"/>
      <c r="L57" s="72"/>
      <c r="M57" s="72"/>
      <c r="N57" s="72"/>
      <c r="O57" s="71">
        <v>0.3</v>
      </c>
      <c r="P57" s="534">
        <v>0.32500000000000001</v>
      </c>
      <c r="Q57" s="524">
        <v>0.34300000000000003</v>
      </c>
      <c r="R57" s="36"/>
      <c r="S57" s="36"/>
    </row>
    <row r="58" spans="2:22" s="1" customFormat="1">
      <c r="B58" s="46" t="s">
        <v>45</v>
      </c>
      <c r="C58" s="53" t="s">
        <v>289</v>
      </c>
      <c r="D58" s="43" t="s">
        <v>3</v>
      </c>
      <c r="E58" s="68"/>
      <c r="F58" s="68"/>
      <c r="G58" s="68"/>
      <c r="H58" s="69"/>
      <c r="I58" s="56"/>
      <c r="J58" s="56"/>
      <c r="K58" s="72"/>
      <c r="L58" s="72"/>
      <c r="M58" s="72"/>
      <c r="N58" s="72"/>
      <c r="O58" s="71">
        <v>0</v>
      </c>
      <c r="P58" s="534">
        <v>4.1000000000000002E-2</v>
      </c>
      <c r="Q58" s="524">
        <v>1.2999999999999999E-2</v>
      </c>
      <c r="R58" s="36"/>
      <c r="S58" s="36"/>
    </row>
    <row r="59" spans="2:22" s="1" customFormat="1" ht="15" thickBot="1">
      <c r="B59" s="75" t="s">
        <v>48</v>
      </c>
      <c r="C59" s="62" t="s">
        <v>289</v>
      </c>
      <c r="D59" s="77" t="s">
        <v>3</v>
      </c>
      <c r="E59" s="78"/>
      <c r="F59" s="78"/>
      <c r="G59" s="78"/>
      <c r="H59" s="79"/>
      <c r="I59" s="80"/>
      <c r="J59" s="80"/>
      <c r="K59" s="120"/>
      <c r="L59" s="120"/>
      <c r="M59" s="120"/>
      <c r="N59" s="120"/>
      <c r="O59" s="120"/>
      <c r="P59" s="550"/>
      <c r="Q59" s="552">
        <v>0</v>
      </c>
      <c r="R59" s="36"/>
      <c r="S59" s="36"/>
    </row>
    <row r="60" spans="2:22" s="1" customFormat="1" ht="15" thickBot="1">
      <c r="B60" s="83"/>
      <c r="C60" s="83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83"/>
      <c r="O60" s="36"/>
      <c r="P60" s="36"/>
      <c r="Q60" s="36"/>
      <c r="R60" s="36"/>
      <c r="S60" s="36"/>
    </row>
    <row r="61" spans="2:22" s="1" customFormat="1" ht="18">
      <c r="B61" s="38" t="s">
        <v>7</v>
      </c>
      <c r="C61" s="101"/>
      <c r="D61" s="39" t="s">
        <v>0</v>
      </c>
      <c r="E61" s="40">
        <v>2009</v>
      </c>
      <c r="F61" s="40">
        <v>2010</v>
      </c>
      <c r="G61" s="40">
        <v>2011</v>
      </c>
      <c r="H61" s="40">
        <v>2012</v>
      </c>
      <c r="I61" s="40">
        <v>2013</v>
      </c>
      <c r="J61" s="40">
        <v>2014</v>
      </c>
      <c r="K61" s="40">
        <v>2015</v>
      </c>
      <c r="L61" s="40">
        <v>2016</v>
      </c>
      <c r="M61" s="40">
        <v>2017</v>
      </c>
      <c r="N61" s="40">
        <v>2018</v>
      </c>
      <c r="O61" s="40">
        <v>2019</v>
      </c>
      <c r="P61" s="434">
        <v>2020</v>
      </c>
      <c r="Q61" s="41">
        <v>2021</v>
      </c>
      <c r="R61" s="36"/>
      <c r="S61" s="36"/>
    </row>
    <row r="62" spans="2:22" s="1" customFormat="1">
      <c r="B62" s="42" t="s">
        <v>6</v>
      </c>
      <c r="C62" s="102"/>
      <c r="D62" s="43"/>
      <c r="E62" s="44">
        <v>2010</v>
      </c>
      <c r="F62" s="44">
        <v>2011</v>
      </c>
      <c r="G62" s="44">
        <v>2012</v>
      </c>
      <c r="H62" s="44">
        <v>2013</v>
      </c>
      <c r="I62" s="44">
        <v>2014</v>
      </c>
      <c r="J62" s="44">
        <v>2015</v>
      </c>
      <c r="K62" s="44">
        <v>2016</v>
      </c>
      <c r="L62" s="44">
        <v>2017</v>
      </c>
      <c r="M62" s="44">
        <v>2018</v>
      </c>
      <c r="N62" s="44">
        <v>2019</v>
      </c>
      <c r="O62" s="44">
        <v>2020</v>
      </c>
      <c r="P62" s="435">
        <v>2021</v>
      </c>
      <c r="Q62" s="45">
        <v>2022</v>
      </c>
      <c r="R62" s="36"/>
      <c r="S62" s="36"/>
    </row>
    <row r="63" spans="2:22" s="1" customFormat="1" ht="30" customHeight="1">
      <c r="B63" s="654" t="s">
        <v>46</v>
      </c>
      <c r="C63" s="664"/>
      <c r="D63" s="664"/>
      <c r="E63" s="664"/>
      <c r="F63" s="664"/>
      <c r="G63" s="664"/>
      <c r="H63" s="664"/>
      <c r="I63" s="664"/>
      <c r="J63" s="664"/>
      <c r="K63" s="664"/>
      <c r="L63" s="664"/>
      <c r="M63" s="664"/>
      <c r="N63" s="664"/>
      <c r="O63" s="664"/>
      <c r="P63" s="655"/>
      <c r="Q63" s="665"/>
      <c r="R63" s="36"/>
      <c r="S63" s="36"/>
    </row>
    <row r="64" spans="2:22" s="1" customFormat="1" ht="29">
      <c r="B64" s="46" t="s">
        <v>192</v>
      </c>
      <c r="C64" s="53" t="s">
        <v>289</v>
      </c>
      <c r="D64" s="43" t="s">
        <v>9</v>
      </c>
      <c r="E64" s="104">
        <f>'Mise sur le marché'!E96</f>
        <v>249.95933051754395</v>
      </c>
      <c r="F64" s="104">
        <f>'Mise sur le marché'!F96</f>
        <v>322</v>
      </c>
      <c r="G64" s="104">
        <f>'Mise sur le marché'!G96</f>
        <v>351</v>
      </c>
      <c r="H64" s="104">
        <f>'Mise sur le marché'!H96</f>
        <v>380</v>
      </c>
      <c r="I64" s="104">
        <f>'Mise sur le marché'!I96</f>
        <v>391</v>
      </c>
      <c r="J64" s="104">
        <f>'Mise sur le marché'!J96</f>
        <v>394.02833739754016</v>
      </c>
      <c r="K64" s="104">
        <f>'Mise sur le marché'!K96</f>
        <v>386</v>
      </c>
      <c r="L64" s="104">
        <f>'Mise sur le marché'!L96</f>
        <v>376</v>
      </c>
      <c r="M64" s="104">
        <f>'Mise sur le marché'!M96</f>
        <v>298.74097873484828</v>
      </c>
      <c r="N64" s="74">
        <f>'Mise sur le marché'!N96</f>
        <v>336.88820020458303</v>
      </c>
      <c r="O64" s="74">
        <f>'Mise sur le marché'!O96</f>
        <v>365.78542815331411</v>
      </c>
      <c r="P64" s="528">
        <f>'Mise sur le marché'!P96</f>
        <v>387.40063571882041</v>
      </c>
      <c r="Q64" s="529">
        <f>'Mise sur le marché'!Q96</f>
        <v>425.6558956092</v>
      </c>
      <c r="R64" s="36"/>
      <c r="S64" s="36"/>
    </row>
    <row r="65" spans="2:52" s="1" customFormat="1">
      <c r="B65" s="87" t="s">
        <v>66</v>
      </c>
      <c r="C65" s="105" t="s">
        <v>123</v>
      </c>
      <c r="D65" s="106" t="s">
        <v>2</v>
      </c>
      <c r="E65" s="109">
        <f t="shared" ref="E65:Q65" si="9">E64/E7*1000</f>
        <v>242.24684545478556</v>
      </c>
      <c r="F65" s="109">
        <f t="shared" si="9"/>
        <v>303.55635346414539</v>
      </c>
      <c r="G65" s="109">
        <f t="shared" si="9"/>
        <v>329.12807535170037</v>
      </c>
      <c r="H65" s="109">
        <f t="shared" si="9"/>
        <v>351.66375166097612</v>
      </c>
      <c r="I65" s="109">
        <f t="shared" si="9"/>
        <v>359.1662741827891</v>
      </c>
      <c r="J65" s="109">
        <f t="shared" si="9"/>
        <v>356.73636982912848</v>
      </c>
      <c r="K65" s="109">
        <f t="shared" si="9"/>
        <v>343.08877442864571</v>
      </c>
      <c r="L65" s="109">
        <f t="shared" si="9"/>
        <v>327.77687583931754</v>
      </c>
      <c r="M65" s="109">
        <f t="shared" si="9"/>
        <v>255.29252201034774</v>
      </c>
      <c r="N65" s="109">
        <f t="shared" si="9"/>
        <v>289.08691961202214</v>
      </c>
      <c r="O65" s="109">
        <f t="shared" si="9"/>
        <v>313.85336693933084</v>
      </c>
      <c r="P65" s="439">
        <f t="shared" ref="P65" si="10">P64/P7*1000</f>
        <v>327.19348175473698</v>
      </c>
      <c r="Q65" s="89">
        <f t="shared" si="9"/>
        <v>358.55495290674833</v>
      </c>
      <c r="R65" s="36"/>
      <c r="S65" s="36"/>
    </row>
    <row r="66" spans="2:52" s="1" customFormat="1" ht="29">
      <c r="B66" s="46" t="s">
        <v>75</v>
      </c>
      <c r="C66" s="53" t="s">
        <v>289</v>
      </c>
      <c r="D66" s="43" t="s">
        <v>9</v>
      </c>
      <c r="E66" s="74">
        <v>171.89284619000003</v>
      </c>
      <c r="F66" s="74">
        <v>173.90899999999999</v>
      </c>
      <c r="G66" s="74">
        <v>195</v>
      </c>
      <c r="H66" s="74">
        <v>214</v>
      </c>
      <c r="I66" s="74">
        <v>214</v>
      </c>
      <c r="J66" s="74">
        <v>200</v>
      </c>
      <c r="K66" s="74">
        <v>216.29999999999998</v>
      </c>
      <c r="L66" s="74">
        <v>257.72095898000003</v>
      </c>
      <c r="M66" s="74">
        <v>261.8</v>
      </c>
      <c r="N66" s="74">
        <v>257.5</v>
      </c>
      <c r="O66" s="74">
        <v>263.156897458613</v>
      </c>
      <c r="P66" s="528">
        <v>269.08921189260849</v>
      </c>
      <c r="Q66" s="529">
        <v>299.43900913343265</v>
      </c>
      <c r="R66" s="36"/>
      <c r="S66" s="122"/>
    </row>
    <row r="67" spans="2:52" s="1" customFormat="1">
      <c r="B67" s="87" t="s">
        <v>67</v>
      </c>
      <c r="C67" s="105" t="s">
        <v>123</v>
      </c>
      <c r="D67" s="106" t="s">
        <v>2</v>
      </c>
      <c r="E67" s="109">
        <f t="shared" ref="E67:Q67" si="11">E66/E7*1000</f>
        <v>166.58909935290268</v>
      </c>
      <c r="F67" s="109">
        <f t="shared" si="11"/>
        <v>163.94776979688217</v>
      </c>
      <c r="G67" s="109">
        <f t="shared" si="11"/>
        <v>182.84893075094465</v>
      </c>
      <c r="H67" s="109">
        <f t="shared" si="11"/>
        <v>198.04221804065497</v>
      </c>
      <c r="I67" s="109">
        <f t="shared" si="11"/>
        <v>196.57693778802266</v>
      </c>
      <c r="J67" s="109">
        <f t="shared" si="11"/>
        <v>181.07142861109133</v>
      </c>
      <c r="K67" s="109">
        <f t="shared" si="11"/>
        <v>192.25415002309862</v>
      </c>
      <c r="L67" s="109">
        <f t="shared" si="11"/>
        <v>224.66747545951415</v>
      </c>
      <c r="M67" s="109">
        <f t="shared" si="11"/>
        <v>223.72418589961805</v>
      </c>
      <c r="N67" s="109">
        <f t="shared" si="11"/>
        <v>220.96316153219496</v>
      </c>
      <c r="O67" s="109">
        <f t="shared" si="11"/>
        <v>225.79543071922564</v>
      </c>
      <c r="P67" s="439">
        <f t="shared" ref="P67" si="12">P66/P7*1000</f>
        <v>227.26920924746292</v>
      </c>
      <c r="Q67" s="89">
        <f t="shared" si="11"/>
        <v>252.23505870773795</v>
      </c>
      <c r="R67" s="36"/>
      <c r="S67" s="36"/>
    </row>
    <row r="68" spans="2:52" s="1" customFormat="1" ht="15" thickBot="1">
      <c r="B68" s="75" t="s">
        <v>51</v>
      </c>
      <c r="C68" s="76" t="s">
        <v>289</v>
      </c>
      <c r="D68" s="77" t="s">
        <v>2</v>
      </c>
      <c r="E68" s="90">
        <v>89</v>
      </c>
      <c r="F68" s="90">
        <v>194</v>
      </c>
      <c r="G68" s="90">
        <v>379</v>
      </c>
      <c r="H68" s="90">
        <v>317</v>
      </c>
      <c r="I68" s="90">
        <v>284</v>
      </c>
      <c r="J68" s="90">
        <v>255.6</v>
      </c>
      <c r="K68" s="90">
        <v>211.8</v>
      </c>
      <c r="L68" s="482">
        <f>'Indicateurs économiques - Citeo'!L139</f>
        <v>188</v>
      </c>
      <c r="M68" s="482">
        <f>'Indicateurs économiques - Citeo'!M139</f>
        <v>158</v>
      </c>
      <c r="N68" s="482">
        <f>'Indicateurs économiques - Citeo'!N139</f>
        <v>200.3</v>
      </c>
      <c r="O68" s="482">
        <f>'Indicateurs économiques - Citeo'!O139</f>
        <v>202.3</v>
      </c>
      <c r="P68" s="482">
        <f>'Indicateurs économiques - Citeo'!P139</f>
        <v>118.1</v>
      </c>
      <c r="Q68" s="541">
        <f>'Indicateurs économiques - Citeo'!Q139</f>
        <v>236.85551988395193</v>
      </c>
      <c r="R68" s="36"/>
      <c r="S68" s="36"/>
    </row>
    <row r="69" spans="2:52" s="1" customFormat="1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2:52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2:52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2:52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2:52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2:52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2:52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2:52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2:5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2:52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2:52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2:52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2:52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2:52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2:52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2:52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2:52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2:52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2:52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2:52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2:52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2:52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2:52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2:52"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2:52" s="1" customFormat="1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2:52" s="1" customFormat="1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2:52" s="1" customFormat="1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2:52" s="1" customFormat="1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2:19" s="1" customFormat="1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</row>
    <row r="98" spans="2:19" s="1" customFormat="1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2:19" s="1" customFormat="1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</row>
    <row r="100" spans="2:19" s="1" customForma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2:19" s="1" customForma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2:19" s="1" customForma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2:19" s="1" customForma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</row>
    <row r="104" spans="2:19" s="1" customForma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2:19" s="1" customForma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2:19" s="1" customForma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2:19" s="1" customForma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2:19" s="1" customForma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2:19" s="1" customForma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spans="2:19" s="1" customForma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</row>
    <row r="111" spans="2:19" s="1" customForma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</row>
    <row r="112" spans="2:19" s="1" customForma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</row>
    <row r="113" spans="2:19" s="1" customForma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2:19" s="1" customForma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2:19" s="1" customForma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2:19" s="1" customForma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2:19" s="1" customForma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2:19" s="1" customForma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2:19" s="1" customForma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2:19" s="1" customFormat="1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2:19" s="1" customFormat="1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2:19" s="1" customFormat="1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2:19" s="1" customFormat="1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2:19" s="1" customFormat="1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2:19" s="1" customFormat="1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2:19" s="1" customForma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2:19" s="1" customFormat="1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2:19" s="1" customFormat="1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2:19" s="1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2:19" s="1" customFormat="1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2:19" s="1" customFormat="1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2:19" s="1" customFormat="1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2:19" s="1" customFormat="1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2:19" s="1" customFormat="1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</row>
    <row r="135" spans="2:19" s="1" customFormat="1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</row>
    <row r="136" spans="2:19" s="1" customFormat="1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2:19" s="1" customFormat="1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</row>
    <row r="138" spans="2:19" s="1" customFormat="1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2:19" s="1" customFormat="1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2:19" s="1" customFormat="1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2:19" s="1" customFormat="1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2:19" s="1" customFormat="1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2:19" s="1" customForma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2:19" s="1" customFormat="1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2:19" s="1" customFormat="1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2:19" s="1" customFormat="1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2:19" s="1" customFormat="1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2:19" s="1" customFormat="1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2:19" s="1" customFormat="1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2:19" s="1" customFormat="1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2:19" s="1" customFormat="1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2:19" s="1" customFormat="1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2:19" s="1" customFormat="1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2:19" s="1" customFormat="1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</row>
    <row r="155" spans="2:19" s="1" customFormat="1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2:19" s="1" customForma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2:19" s="1" customFormat="1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2:19" s="1" customFormat="1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2:19" s="1" customFormat="1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</row>
    <row r="160" spans="2:19" s="1" customFormat="1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2:19" s="1" customFormat="1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2:19" s="1" customFormat="1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</row>
    <row r="163" spans="2:19" s="1" customFormat="1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2:19" s="1" customFormat="1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2:19" s="1" customFormat="1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2:19" s="1" customFormat="1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2:19" s="1" customFormat="1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2:19" s="1" customFormat="1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2:19" s="1" customForma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2:19" s="1" customFormat="1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2:19" s="1" customFormat="1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2:19" s="1" customFormat="1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2:19" s="1" customFormat="1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2:19" s="1" customFormat="1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spans="2:19" s="1" customFormat="1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</row>
    <row r="176" spans="2:19" s="1" customFormat="1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</row>
    <row r="177" spans="2:19" s="1" customFormat="1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</row>
    <row r="178" spans="2:19" s="1" customFormat="1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</row>
    <row r="179" spans="2:19" s="1" customFormat="1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</row>
    <row r="180" spans="2:19" s="1" customFormat="1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</row>
    <row r="181" spans="2:19" s="1" customFormat="1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</row>
    <row r="182" spans="2:19" s="1" customFormat="1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</row>
    <row r="183" spans="2:19" s="1" customFormat="1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</row>
    <row r="184" spans="2:19" s="1" customFormat="1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</row>
    <row r="185" spans="2:19" s="1" customFormat="1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</row>
    <row r="186" spans="2:19" s="1" customForma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2:19" s="1" customFormat="1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</row>
    <row r="188" spans="2:19" s="1" customFormat="1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</row>
    <row r="189" spans="2:19" s="1" customFormat="1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</row>
    <row r="190" spans="2:19" s="1" customFormat="1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</row>
    <row r="191" spans="2:19" s="1" customFormat="1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</row>
    <row r="192" spans="2:19" s="1" customFormat="1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</row>
    <row r="193" spans="2:19" s="1" customFormat="1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</row>
    <row r="194" spans="2:19" s="1" customFormat="1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</row>
    <row r="195" spans="2:19" s="1" customFormat="1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</row>
    <row r="196" spans="2:19" s="1" customFormat="1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spans="2:19" s="1" customFormat="1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</row>
    <row r="198" spans="2:19" s="1" customFormat="1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</row>
    <row r="199" spans="2:19" s="1" customForma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</row>
    <row r="200" spans="2:19" s="1" customFormat="1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</row>
    <row r="201" spans="2:19" s="1" customFormat="1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</row>
    <row r="202" spans="2:19" s="1" customFormat="1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</row>
    <row r="203" spans="2:19" s="1" customFormat="1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</row>
    <row r="204" spans="2:19" s="1" customFormat="1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</row>
    <row r="205" spans="2:19" s="1" customFormat="1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</row>
    <row r="206" spans="2:19" s="1" customFormat="1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</row>
    <row r="207" spans="2:19" s="1" customFormat="1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</row>
    <row r="208" spans="2:19" s="1" customFormat="1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</row>
    <row r="209" spans="2:19" s="1" customFormat="1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</row>
    <row r="210" spans="2:19" s="1" customFormat="1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</row>
    <row r="211" spans="2:19" s="1" customFormat="1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</row>
    <row r="212" spans="2:19" s="1" customForma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</row>
    <row r="213" spans="2:19" s="1" customFormat="1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</row>
    <row r="214" spans="2:19" s="1" customFormat="1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</row>
    <row r="215" spans="2:19" s="1" customFormat="1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</row>
    <row r="216" spans="2:19" s="1" customFormat="1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</row>
    <row r="217" spans="2:19" s="1" customFormat="1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</row>
    <row r="218" spans="2:19" s="1" customFormat="1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</row>
    <row r="219" spans="2:19" s="1" customFormat="1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</row>
    <row r="220" spans="2:19" s="1" customFormat="1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</row>
    <row r="221" spans="2:19" s="1" customFormat="1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</row>
    <row r="222" spans="2:19" s="1" customFormat="1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</row>
    <row r="223" spans="2:19" s="1" customFormat="1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</row>
    <row r="224" spans="2:19" s="1" customFormat="1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</row>
    <row r="225" spans="2:19" s="1" customFormat="1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</row>
    <row r="226" spans="2:19" s="1" customFormat="1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</row>
    <row r="227" spans="2:19" s="1" customFormat="1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</row>
    <row r="228" spans="2:19" s="1" customFormat="1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</row>
    <row r="229" spans="2:19" s="1" customForma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</row>
    <row r="230" spans="2:19" s="1" customFormat="1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</row>
    <row r="231" spans="2:19" s="1" customFormat="1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</row>
    <row r="232" spans="2:19" s="1" customFormat="1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</row>
    <row r="233" spans="2:19" s="1" customFormat="1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</row>
    <row r="234" spans="2:19" s="1" customFormat="1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</row>
    <row r="235" spans="2:19" s="1" customFormat="1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</row>
    <row r="236" spans="2:19" s="1" customFormat="1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</row>
    <row r="237" spans="2:19" s="1" customFormat="1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</row>
    <row r="238" spans="2:19" s="1" customFormat="1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</row>
    <row r="239" spans="2:19" s="1" customFormat="1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</row>
    <row r="240" spans="2:19" s="1" customFormat="1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</row>
    <row r="241" spans="2:19" s="1" customFormat="1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</row>
    <row r="242" spans="2:19" s="1" customForma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</row>
    <row r="243" spans="2:19" s="1" customFormat="1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</row>
    <row r="244" spans="2:19" s="1" customFormat="1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</row>
    <row r="245" spans="2:19" s="1" customFormat="1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</row>
    <row r="246" spans="2:19" s="1" customFormat="1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</row>
    <row r="247" spans="2:19" s="1" customFormat="1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</row>
    <row r="248" spans="2:19" s="1" customFormat="1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</row>
    <row r="249" spans="2:19" s="1" customFormat="1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</row>
    <row r="250" spans="2:19" s="1" customFormat="1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</row>
    <row r="251" spans="2:19" s="1" customFormat="1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</row>
    <row r="252" spans="2:19" s="1" customFormat="1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</row>
    <row r="253" spans="2:19" s="1" customFormat="1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</row>
    <row r="254" spans="2:19" s="1" customFormat="1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</row>
    <row r="255" spans="2:19" s="1" customForma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</row>
    <row r="256" spans="2:19" s="1" customFormat="1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</row>
    <row r="257" spans="2:19" s="1" customFormat="1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</row>
    <row r="258" spans="2:19" s="1" customFormat="1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</row>
    <row r="259" spans="2:19" s="1" customFormat="1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</row>
    <row r="260" spans="2:19" s="1" customFormat="1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</row>
    <row r="261" spans="2:19" s="1" customFormat="1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</row>
    <row r="262" spans="2:19" s="1" customFormat="1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</row>
    <row r="263" spans="2:19" s="1" customFormat="1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</row>
    <row r="264" spans="2:19" s="1" customFormat="1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</row>
    <row r="265" spans="2:19" s="1" customFormat="1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</row>
    <row r="266" spans="2:19" s="1" customFormat="1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</row>
    <row r="267" spans="2:19" s="1" customFormat="1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</row>
    <row r="268" spans="2:19" s="1" customFormat="1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</row>
    <row r="269" spans="2:19" s="1" customFormat="1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</row>
    <row r="270" spans="2:19" s="1" customFormat="1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</row>
    <row r="271" spans="2:19" s="1" customFormat="1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</row>
    <row r="272" spans="2:19" s="1" customForma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</row>
    <row r="273" spans="2:19" s="1" customFormat="1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</row>
    <row r="274" spans="2:19" s="1" customFormat="1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</row>
    <row r="275" spans="2:19" s="1" customFormat="1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</row>
    <row r="276" spans="2:19" s="1" customFormat="1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</row>
    <row r="277" spans="2:19" s="1" customFormat="1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</row>
    <row r="278" spans="2:19" s="1" customFormat="1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</row>
    <row r="279" spans="2:19" s="1" customFormat="1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</row>
    <row r="280" spans="2:19" s="1" customFormat="1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</row>
    <row r="281" spans="2:19" s="1" customFormat="1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</row>
    <row r="282" spans="2:19" s="1" customFormat="1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</row>
    <row r="283" spans="2:19" s="1" customFormat="1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</row>
    <row r="284" spans="2:19" s="1" customFormat="1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</row>
    <row r="285" spans="2:19" s="1" customForma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</row>
    <row r="286" spans="2:19" s="1" customFormat="1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</row>
    <row r="287" spans="2:19" s="1" customFormat="1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</row>
    <row r="288" spans="2:19" s="1" customFormat="1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</row>
    <row r="289" spans="2:19" s="1" customFormat="1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</row>
    <row r="290" spans="2:19" s="1" customFormat="1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</row>
    <row r="291" spans="2:19" s="1" customFormat="1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</row>
    <row r="292" spans="2:19" s="1" customFormat="1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</row>
    <row r="293" spans="2:19" s="1" customFormat="1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</row>
    <row r="294" spans="2:19" s="1" customFormat="1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</row>
    <row r="295" spans="2:19" s="1" customFormat="1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</row>
    <row r="296" spans="2:19" s="1" customFormat="1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</row>
    <row r="297" spans="2:19" s="1" customFormat="1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</row>
    <row r="298" spans="2:19" s="1" customForma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</row>
    <row r="299" spans="2:19" s="1" customFormat="1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</row>
    <row r="300" spans="2:19" s="1" customFormat="1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</row>
    <row r="301" spans="2:19" s="1" customFormat="1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</row>
    <row r="302" spans="2:19" s="1" customFormat="1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</row>
    <row r="303" spans="2:19" s="1" customFormat="1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</row>
    <row r="304" spans="2:19" s="1" customFormat="1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</row>
    <row r="305" spans="2:19" s="1" customFormat="1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</row>
    <row r="306" spans="2:19" s="1" customFormat="1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</row>
    <row r="307" spans="2:19" s="1" customFormat="1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</row>
    <row r="308" spans="2:19" s="1" customFormat="1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</row>
    <row r="309" spans="2:19" s="1" customFormat="1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</row>
    <row r="310" spans="2:19" s="1" customFormat="1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</row>
    <row r="311" spans="2:19" s="1" customFormat="1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</row>
    <row r="312" spans="2:19" s="1" customFormat="1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</row>
    <row r="313" spans="2:19" s="1" customFormat="1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</row>
    <row r="314" spans="2:19" s="1" customFormat="1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</row>
    <row r="315" spans="2:19" s="1" customForma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</row>
    <row r="316" spans="2:19" s="1" customFormat="1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</row>
    <row r="317" spans="2:19" s="1" customFormat="1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</row>
    <row r="318" spans="2:19" s="1" customFormat="1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</row>
    <row r="319" spans="2:19" s="1" customFormat="1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</row>
    <row r="320" spans="2:19" s="1" customFormat="1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</row>
    <row r="321" spans="2:19" s="1" customFormat="1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</row>
    <row r="322" spans="2:19" s="1" customFormat="1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</row>
    <row r="323" spans="2:19" s="1" customFormat="1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</row>
    <row r="324" spans="2:19" s="1" customFormat="1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</row>
    <row r="325" spans="2:19" s="1" customFormat="1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</row>
    <row r="326" spans="2:19" s="1" customFormat="1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</row>
    <row r="327" spans="2:19" s="1" customFormat="1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</row>
    <row r="328" spans="2:19" s="1" customForma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</row>
    <row r="329" spans="2:19" s="1" customFormat="1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</row>
    <row r="330" spans="2:19" s="1" customFormat="1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</row>
    <row r="331" spans="2:19" s="1" customFormat="1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</row>
    <row r="332" spans="2:19" s="1" customFormat="1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</row>
    <row r="333" spans="2:19" s="1" customFormat="1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</row>
    <row r="334" spans="2:19" s="1" customFormat="1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</row>
    <row r="335" spans="2:19" s="1" customFormat="1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</row>
    <row r="336" spans="2:19" s="1" customFormat="1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</row>
    <row r="337" spans="2:19" s="1" customFormat="1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</row>
    <row r="338" spans="2:19" s="1" customFormat="1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</row>
    <row r="339" spans="2:19" s="1" customFormat="1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</row>
    <row r="340" spans="2:19" s="1" customFormat="1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</row>
    <row r="341" spans="2:19" s="1" customForma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</row>
    <row r="342" spans="2:19" s="1" customFormat="1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</row>
    <row r="343" spans="2:19" s="1" customFormat="1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</row>
    <row r="344" spans="2:19" s="1" customFormat="1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</row>
    <row r="345" spans="2:19" s="1" customFormat="1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</row>
    <row r="346" spans="2:19" s="1" customFormat="1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</row>
    <row r="347" spans="2:19" s="1" customFormat="1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</row>
    <row r="348" spans="2:19" s="1" customFormat="1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</row>
    <row r="349" spans="2:19" s="1" customFormat="1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</row>
    <row r="350" spans="2:19" s="1" customFormat="1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</row>
    <row r="351" spans="2:19" s="1" customFormat="1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</row>
    <row r="352" spans="2:19" s="1" customFormat="1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</row>
    <row r="353" spans="2:19" s="1" customFormat="1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</row>
    <row r="354" spans="2:19" s="1" customFormat="1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</row>
    <row r="355" spans="2:19" s="1" customFormat="1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</row>
    <row r="356" spans="2:19" s="1" customFormat="1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</row>
    <row r="357" spans="2:19" s="1" customFormat="1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</row>
    <row r="358" spans="2:19" s="1" customForma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</row>
    <row r="359" spans="2:19" s="1" customFormat="1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</row>
    <row r="360" spans="2:19" s="1" customFormat="1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</row>
    <row r="361" spans="2:19" s="1" customFormat="1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</row>
    <row r="362" spans="2:19" s="1" customFormat="1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</row>
    <row r="363" spans="2:19" s="1" customFormat="1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</row>
    <row r="364" spans="2:19" s="1" customFormat="1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</row>
    <row r="365" spans="2:19" s="1" customFormat="1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2:19" s="1" customFormat="1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</row>
    <row r="367" spans="2:19" s="1" customFormat="1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</row>
    <row r="368" spans="2:19" s="1" customFormat="1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</row>
    <row r="369" spans="2:19" s="1" customFormat="1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</row>
    <row r="370" spans="2:19" s="1" customFormat="1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</row>
    <row r="371" spans="2:19" s="1" customForma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</row>
    <row r="372" spans="2:19" s="1" customFormat="1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</row>
    <row r="373" spans="2:19" s="1" customFormat="1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</row>
    <row r="374" spans="2:19" s="1" customFormat="1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</row>
    <row r="375" spans="2:19" s="1" customFormat="1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</row>
    <row r="376" spans="2:19" s="1" customFormat="1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</row>
    <row r="377" spans="2:19" s="1" customFormat="1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</row>
    <row r="378" spans="2:19" s="1" customFormat="1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</row>
    <row r="379" spans="2:19" s="1" customFormat="1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</row>
    <row r="380" spans="2:19" s="1" customFormat="1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</row>
    <row r="381" spans="2:19" s="1" customFormat="1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</row>
    <row r="382" spans="2:19" s="1" customFormat="1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</row>
    <row r="383" spans="2:19" s="1" customFormat="1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</row>
    <row r="384" spans="2:19" s="1" customForma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</row>
    <row r="385" spans="2:19" s="1" customFormat="1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</row>
    <row r="386" spans="2:19" s="1" customFormat="1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</row>
    <row r="387" spans="2:19" s="1" customFormat="1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</row>
    <row r="388" spans="2:19" s="1" customFormat="1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</row>
    <row r="389" spans="2:19" s="1" customFormat="1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</row>
    <row r="390" spans="2:19" s="1" customFormat="1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</row>
    <row r="391" spans="2:19" s="1" customFormat="1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</row>
    <row r="392" spans="2:19" s="1" customFormat="1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</row>
    <row r="393" spans="2:19" s="1" customFormat="1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</row>
    <row r="394" spans="2:19" s="1" customFormat="1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</row>
    <row r="395" spans="2:19" s="1" customFormat="1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</row>
    <row r="396" spans="2:19" s="1" customFormat="1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</row>
    <row r="397" spans="2:19" s="1" customFormat="1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</row>
    <row r="398" spans="2:19" s="1" customFormat="1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</row>
    <row r="399" spans="2:19" s="1" customFormat="1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</row>
    <row r="400" spans="2:19" s="1" customFormat="1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</row>
    <row r="401" spans="2:19" s="1" customForma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</row>
    <row r="402" spans="2:19" s="1" customFormat="1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</row>
    <row r="403" spans="2:19" s="1" customFormat="1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</row>
    <row r="404" spans="2:19" s="1" customFormat="1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</row>
    <row r="405" spans="2:19" s="1" customFormat="1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</row>
    <row r="406" spans="2:19" s="1" customFormat="1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</row>
    <row r="407" spans="2:19" s="1" customFormat="1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</row>
    <row r="408" spans="2:19" s="1" customFormat="1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</row>
    <row r="409" spans="2:19" s="1" customFormat="1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</row>
    <row r="410" spans="2:19" s="1" customFormat="1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</row>
    <row r="411" spans="2:19" s="1" customFormat="1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</row>
    <row r="412" spans="2:19" s="1" customFormat="1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</row>
    <row r="413" spans="2:19" s="1" customFormat="1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</row>
    <row r="414" spans="2:19" s="1" customForma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</row>
    <row r="415" spans="2:19" s="1" customFormat="1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</row>
    <row r="416" spans="2:19" s="1" customFormat="1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</row>
    <row r="417" spans="2:19" s="1" customFormat="1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</row>
    <row r="418" spans="2:19" s="1" customFormat="1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</row>
    <row r="419" spans="2:19" s="1" customFormat="1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</row>
    <row r="420" spans="2:19" s="1" customFormat="1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</row>
    <row r="421" spans="2:19" s="1" customFormat="1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</row>
    <row r="422" spans="2:19" s="1" customFormat="1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</row>
    <row r="423" spans="2:19" s="1" customFormat="1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</row>
    <row r="424" spans="2:19" s="1" customFormat="1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</row>
    <row r="425" spans="2:19" s="1" customFormat="1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</row>
    <row r="426" spans="2:19" s="1" customFormat="1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</row>
    <row r="427" spans="2:19" s="1" customForma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</row>
    <row r="428" spans="2:19" s="1" customFormat="1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</row>
    <row r="429" spans="2:19" s="1" customFormat="1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</row>
    <row r="430" spans="2:19" s="1" customFormat="1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</row>
    <row r="431" spans="2:19" s="1" customFormat="1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</row>
    <row r="432" spans="2:19" s="1" customFormat="1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</row>
    <row r="433" spans="2:19" s="1" customFormat="1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</row>
    <row r="434" spans="2:19" s="1" customFormat="1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</row>
    <row r="435" spans="2:19" s="1" customFormat="1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</row>
    <row r="436" spans="2:19" s="1" customFormat="1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</row>
    <row r="437" spans="2:19" s="1" customFormat="1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</row>
    <row r="438" spans="2:19" s="1" customFormat="1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</row>
    <row r="439" spans="2:19" s="1" customFormat="1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</row>
    <row r="440" spans="2:19" s="1" customFormat="1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</row>
    <row r="441" spans="2:19" s="1" customFormat="1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</row>
    <row r="442" spans="2:19" s="1" customFormat="1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</row>
    <row r="443" spans="2:19" s="1" customFormat="1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</row>
    <row r="444" spans="2:19" s="1" customForma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</row>
    <row r="445" spans="2:19" s="1" customFormat="1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</row>
    <row r="446" spans="2:19" s="1" customFormat="1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</row>
    <row r="447" spans="2:19" s="1" customFormat="1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</row>
    <row r="448" spans="2:19" s="1" customFormat="1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</row>
    <row r="449" spans="2:19" s="1" customFormat="1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</row>
    <row r="450" spans="2:19" s="1" customFormat="1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</row>
    <row r="451" spans="2:19" s="1" customFormat="1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</row>
    <row r="452" spans="2:19" s="1" customFormat="1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</row>
    <row r="453" spans="2:19" s="1" customFormat="1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</row>
    <row r="454" spans="2:19" s="1" customFormat="1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</row>
    <row r="455" spans="2:19" s="1" customFormat="1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</row>
    <row r="456" spans="2:19" s="1" customFormat="1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</row>
    <row r="457" spans="2:19" s="1" customForma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</row>
    <row r="458" spans="2:19" s="1" customFormat="1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</row>
    <row r="459" spans="2:19" s="1" customFormat="1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</row>
    <row r="460" spans="2:19" s="1" customFormat="1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</row>
    <row r="461" spans="2:19" s="1" customFormat="1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</row>
    <row r="462" spans="2:19" s="1" customFormat="1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</row>
    <row r="463" spans="2:19" s="1" customFormat="1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</row>
    <row r="464" spans="2:19" s="1" customFormat="1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</row>
    <row r="465" spans="2:19" s="1" customFormat="1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</row>
    <row r="466" spans="2:19" s="1" customFormat="1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</row>
    <row r="467" spans="2:19" s="1" customFormat="1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</row>
    <row r="468" spans="2:19" s="1" customFormat="1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</row>
    <row r="469" spans="2:19" s="1" customFormat="1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</row>
    <row r="470" spans="2:19" s="1" customForma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</row>
    <row r="471" spans="2:19" s="1" customFormat="1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</row>
    <row r="472" spans="2:19" s="1" customFormat="1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</row>
    <row r="473" spans="2:19" s="1" customFormat="1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</row>
    <row r="474" spans="2:19" s="1" customFormat="1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</row>
    <row r="475" spans="2:19" s="1" customFormat="1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</row>
    <row r="476" spans="2:19" s="1" customFormat="1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</row>
    <row r="477" spans="2:19" s="1" customFormat="1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</row>
    <row r="478" spans="2:19" s="1" customFormat="1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</row>
    <row r="479" spans="2:19" s="1" customFormat="1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</row>
    <row r="480" spans="2:19" s="1" customFormat="1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</row>
    <row r="481" spans="2:19" s="1" customFormat="1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</row>
    <row r="482" spans="2:19" s="1" customFormat="1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</row>
    <row r="483" spans="2:19" s="1" customFormat="1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</row>
    <row r="484" spans="2:19" s="1" customFormat="1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</row>
    <row r="485" spans="2:19" s="1" customFormat="1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</row>
    <row r="486" spans="2:19" s="1" customFormat="1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</row>
    <row r="487" spans="2:19" s="1" customFormat="1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</row>
    <row r="488" spans="2:19" s="1" customFormat="1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</row>
    <row r="489" spans="2:19" s="1" customFormat="1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</row>
    <row r="490" spans="2:19" s="1" customFormat="1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</row>
    <row r="491" spans="2:19" s="1" customFormat="1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</row>
    <row r="492" spans="2:19" s="1" customFormat="1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</row>
    <row r="493" spans="2:19" s="1" customFormat="1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</row>
    <row r="494" spans="2:19" s="1" customFormat="1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</row>
    <row r="495" spans="2:19" s="1" customFormat="1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</row>
    <row r="496" spans="2:19" s="1" customFormat="1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</row>
    <row r="497" spans="2:19" s="1" customFormat="1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</row>
    <row r="498" spans="2:19" s="1" customFormat="1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</row>
    <row r="499" spans="2:19" s="1" customFormat="1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</row>
    <row r="500" spans="2:19" s="1" customFormat="1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</row>
    <row r="501" spans="2:19" s="1" customFormat="1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</row>
    <row r="502" spans="2:19" s="1" customFormat="1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</row>
    <row r="503" spans="2:19" s="1" customFormat="1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</row>
    <row r="504" spans="2:19" s="1" customFormat="1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</row>
    <row r="505" spans="2:19" s="1" customFormat="1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</row>
    <row r="506" spans="2:19" s="1" customFormat="1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</row>
    <row r="507" spans="2:19" s="1" customFormat="1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</row>
    <row r="508" spans="2:19" s="1" customFormat="1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</row>
    <row r="509" spans="2:19" s="1" customFormat="1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</row>
    <row r="510" spans="2:19" s="1" customFormat="1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</row>
    <row r="511" spans="2:19" s="1" customFormat="1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</row>
    <row r="512" spans="2:19" s="1" customFormat="1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</row>
    <row r="513" spans="2:19" s="1" customFormat="1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</row>
    <row r="514" spans="2:19" s="1" customFormat="1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</row>
    <row r="515" spans="2:19" s="1" customFormat="1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</row>
    <row r="516" spans="2:19" s="1" customFormat="1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</row>
    <row r="517" spans="2:19" s="1" customFormat="1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</row>
    <row r="518" spans="2:19" s="1" customFormat="1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</row>
    <row r="519" spans="2:19" s="1" customFormat="1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</row>
    <row r="520" spans="2:19" s="1" customFormat="1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</row>
    <row r="521" spans="2:19" s="1" customFormat="1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</row>
    <row r="522" spans="2:19" s="1" customFormat="1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</row>
    <row r="523" spans="2:19" s="1" customFormat="1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</row>
    <row r="524" spans="2:19" s="1" customFormat="1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</row>
    <row r="525" spans="2:19" s="1" customFormat="1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</row>
    <row r="526" spans="2:19" s="1" customFormat="1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</row>
    <row r="527" spans="2:19" s="1" customFormat="1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</row>
    <row r="528" spans="2:19" s="1" customFormat="1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</row>
    <row r="529" spans="2:19" s="1" customFormat="1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</row>
    <row r="530" spans="2:19" s="1" customFormat="1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</row>
    <row r="531" spans="2:19" s="1" customFormat="1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</row>
    <row r="532" spans="2:19" s="1" customFormat="1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</row>
    <row r="533" spans="2:19" s="1" customFormat="1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</row>
    <row r="534" spans="2:19" s="1" customFormat="1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</row>
    <row r="535" spans="2:19" s="1" customFormat="1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</row>
    <row r="536" spans="2:19" s="1" customFormat="1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</row>
    <row r="537" spans="2:19" s="1" customFormat="1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</row>
    <row r="538" spans="2:19" s="1" customFormat="1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</row>
    <row r="539" spans="2:19" s="1" customFormat="1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</row>
    <row r="540" spans="2:19" s="1" customFormat="1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</row>
    <row r="541" spans="2:19" s="1" customFormat="1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</row>
    <row r="542" spans="2:19" s="1" customFormat="1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</row>
  </sheetData>
  <sheetProtection algorithmName="SHA-512" hashValue="e6RCidM8/T3YR+hmewP95aj15zZcjbwNX3DwjuAVxISMAem3l7xMyjJZE1Ft43B5gqXCT9engqcRRIKwZ1rxGg==" saltValue="t7tuwcP2GXCfUK9T6ZfnmA==" spinCount="100000" sheet="1" scenarios="1"/>
  <mergeCells count="4">
    <mergeCell ref="B6:Q6"/>
    <mergeCell ref="B44:Q44"/>
    <mergeCell ref="B52:Q52"/>
    <mergeCell ref="B63:Q63"/>
  </mergeCells>
  <conditionalFormatting sqref="C64:C70">
    <cfRule type="cellIs" dxfId="32" priority="19" operator="equal">
      <formula>"SYDEREP"</formula>
    </cfRule>
    <cfRule type="cellIs" dxfId="31" priority="20" operator="equal">
      <formula>"Calcul"</formula>
    </cfRule>
    <cfRule type="cellIs" dxfId="30" priority="21" operator="equal">
      <formula>"EO"</formula>
    </cfRule>
  </conditionalFormatting>
  <conditionalFormatting sqref="C7:C38">
    <cfRule type="cellIs" dxfId="29" priority="16" operator="equal">
      <formula>"SYDEREP"</formula>
    </cfRule>
    <cfRule type="cellIs" dxfId="28" priority="17" operator="equal">
      <formula>"Calcul"</formula>
    </cfRule>
    <cfRule type="cellIs" dxfId="27" priority="18" operator="equal">
      <formula>"EO"</formula>
    </cfRule>
  </conditionalFormatting>
  <conditionalFormatting sqref="C40">
    <cfRule type="cellIs" dxfId="26" priority="13" operator="equal">
      <formula>"SYDEREP"</formula>
    </cfRule>
    <cfRule type="cellIs" dxfId="25" priority="14" operator="equal">
      <formula>"Calcul"</formula>
    </cfRule>
    <cfRule type="cellIs" dxfId="24" priority="15" operator="equal">
      <formula>"EO"</formula>
    </cfRule>
  </conditionalFormatting>
  <conditionalFormatting sqref="C39">
    <cfRule type="cellIs" dxfId="23" priority="10" operator="equal">
      <formula>"SYDEREP"</formula>
    </cfRule>
    <cfRule type="cellIs" dxfId="22" priority="11" operator="equal">
      <formula>"Calcul"</formula>
    </cfRule>
    <cfRule type="cellIs" dxfId="21" priority="12" operator="equal">
      <formula>"EO"</formula>
    </cfRule>
  </conditionalFormatting>
  <conditionalFormatting sqref="C45:C51">
    <cfRule type="cellIs" dxfId="20" priority="7" operator="equal">
      <formula>"SYDEREP"</formula>
    </cfRule>
    <cfRule type="cellIs" dxfId="19" priority="8" operator="equal">
      <formula>"Calcul"</formula>
    </cfRule>
    <cfRule type="cellIs" dxfId="18" priority="9" operator="equal">
      <formula>"EO"</formula>
    </cfRule>
  </conditionalFormatting>
  <conditionalFormatting sqref="C53:C58">
    <cfRule type="cellIs" dxfId="17" priority="4" operator="equal">
      <formula>"SYDEREP"</formula>
    </cfRule>
    <cfRule type="cellIs" dxfId="16" priority="5" operator="equal">
      <formula>"Calcul"</formula>
    </cfRule>
    <cfRule type="cellIs" dxfId="15" priority="6" operator="equal">
      <formula>"EO"</formula>
    </cfRule>
  </conditionalFormatting>
  <conditionalFormatting sqref="C59">
    <cfRule type="cellIs" dxfId="14" priority="1" operator="equal">
      <formula>"SYDEREP"</formula>
    </cfRule>
    <cfRule type="cellIs" dxfId="13" priority="2" operator="equal">
      <formula>"Calcul"</formula>
    </cfRule>
    <cfRule type="cellIs" dxfId="12" priority="3" operator="equal">
      <formula>"EO"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BC506"/>
  <sheetViews>
    <sheetView zoomScale="80" zoomScaleNormal="80" workbookViewId="0"/>
  </sheetViews>
  <sheetFormatPr baseColWidth="10" defaultRowHeight="14.5"/>
  <cols>
    <col min="1" max="1" width="10.54296875" style="1" customWidth="1"/>
    <col min="2" max="2" width="63.81640625" style="83" customWidth="1"/>
    <col min="3" max="3" width="17.453125" style="83" customWidth="1"/>
    <col min="4" max="4" width="6.453125" style="83" bestFit="1" customWidth="1"/>
    <col min="5" max="14" width="11.54296875" style="83"/>
    <col min="15" max="17" width="11.54296875" style="36" customWidth="1"/>
    <col min="18" max="19" width="11.453125" style="36"/>
    <col min="20" max="31" width="11.453125" style="1"/>
  </cols>
  <sheetData>
    <row r="1" spans="2:50" s="1" customFormat="1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50" ht="23">
      <c r="B2" s="37" t="s">
        <v>93</v>
      </c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50" ht="1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2:50" ht="18">
      <c r="B4" s="38" t="s">
        <v>7</v>
      </c>
      <c r="C4" s="39" t="s">
        <v>140</v>
      </c>
      <c r="D4" s="39" t="s">
        <v>0</v>
      </c>
      <c r="E4" s="40">
        <v>2009</v>
      </c>
      <c r="F4" s="40">
        <v>2010</v>
      </c>
      <c r="G4" s="40">
        <v>2011</v>
      </c>
      <c r="H4" s="40">
        <v>2012</v>
      </c>
      <c r="I4" s="40">
        <v>2013</v>
      </c>
      <c r="J4" s="40">
        <v>2014</v>
      </c>
      <c r="K4" s="40">
        <v>2015</v>
      </c>
      <c r="L4" s="40">
        <v>2016</v>
      </c>
      <c r="M4" s="40">
        <v>2017</v>
      </c>
      <c r="N4" s="40">
        <v>2018</v>
      </c>
      <c r="O4" s="40">
        <v>2019</v>
      </c>
      <c r="P4" s="434">
        <v>2020</v>
      </c>
      <c r="Q4" s="41">
        <v>2021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2:50">
      <c r="B5" s="42" t="s">
        <v>6</v>
      </c>
      <c r="C5" s="43"/>
      <c r="D5" s="43"/>
      <c r="E5" s="44">
        <v>2010</v>
      </c>
      <c r="F5" s="44">
        <v>2011</v>
      </c>
      <c r="G5" s="44">
        <v>2012</v>
      </c>
      <c r="H5" s="44">
        <v>2013</v>
      </c>
      <c r="I5" s="44">
        <v>2014</v>
      </c>
      <c r="J5" s="44">
        <v>2015</v>
      </c>
      <c r="K5" s="44">
        <v>2016</v>
      </c>
      <c r="L5" s="44">
        <v>2017</v>
      </c>
      <c r="M5" s="44">
        <v>2018</v>
      </c>
      <c r="N5" s="44">
        <v>2019</v>
      </c>
      <c r="O5" s="44">
        <v>2020</v>
      </c>
      <c r="P5" s="435">
        <v>2021</v>
      </c>
      <c r="Q5" s="45">
        <v>2022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2:50" ht="30" customHeight="1">
      <c r="B6" s="654" t="s">
        <v>47</v>
      </c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6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2:50" s="1" customFormat="1">
      <c r="B7" s="46" t="s">
        <v>72</v>
      </c>
      <c r="C7" s="47" t="s">
        <v>141</v>
      </c>
      <c r="D7" s="43" t="s">
        <v>11</v>
      </c>
      <c r="E7" s="95">
        <f>'Mise sur le marché'!E32</f>
        <v>2393.8319206143901</v>
      </c>
      <c r="F7" s="95">
        <f>'Mise sur le marché'!F32</f>
        <v>2318.6986288797998</v>
      </c>
      <c r="G7" s="95">
        <f>'Mise sur le marché'!G32</f>
        <v>2340.9139449149948</v>
      </c>
      <c r="H7" s="95">
        <f>'Mise sur le marché'!H32</f>
        <v>2296.0544799055378</v>
      </c>
      <c r="I7" s="95">
        <f>'Mise sur le marché'!I32</f>
        <v>2217.8337300844505</v>
      </c>
      <c r="J7" s="95">
        <f>'Mise sur le marché'!J32</f>
        <v>2288.7691369610029</v>
      </c>
      <c r="K7" s="95">
        <f>'Mise sur le marché'!K32</f>
        <v>2329.8879461014176</v>
      </c>
      <c r="L7" s="95">
        <f>'Mise sur le marché'!L32</f>
        <v>2357.8613443086124</v>
      </c>
      <c r="M7" s="95">
        <f>'Mise sur le marché'!M32</f>
        <v>2401.4732655922621</v>
      </c>
      <c r="N7" s="48">
        <f>'Mise sur le marché'!N32</f>
        <v>2515.8263037172901</v>
      </c>
      <c r="O7" s="48">
        <f>'Mise sur le marché'!O32</f>
        <v>2558.8562149999998</v>
      </c>
      <c r="P7" s="436">
        <f>'Mise sur le marché'!P32</f>
        <v>2538.3372820000004</v>
      </c>
      <c r="Q7" s="49">
        <f>'Mise sur le marché'!Q32</f>
        <v>2560.1048920000007</v>
      </c>
      <c r="R7" s="36"/>
      <c r="S7" s="36"/>
    </row>
    <row r="8" spans="2:50" s="1" customFormat="1">
      <c r="B8" s="46" t="s">
        <v>44</v>
      </c>
      <c r="C8" s="53" t="s">
        <v>123</v>
      </c>
      <c r="D8" s="43" t="s">
        <v>11</v>
      </c>
      <c r="E8" s="92">
        <f t="shared" ref="E8:O8" si="0">E9+E10+E11+E12</f>
        <v>1895.2861559999999</v>
      </c>
      <c r="F8" s="92">
        <f t="shared" si="0"/>
        <v>1890.4232360000001</v>
      </c>
      <c r="G8" s="92">
        <f t="shared" si="0"/>
        <v>1920.7506819999987</v>
      </c>
      <c r="H8" s="92">
        <f t="shared" si="0"/>
        <v>1909.97468399999</v>
      </c>
      <c r="I8" s="92">
        <f t="shared" si="0"/>
        <v>1929.8620329999967</v>
      </c>
      <c r="J8" s="92">
        <f t="shared" si="0"/>
        <v>1948.6192479999995</v>
      </c>
      <c r="K8" s="92">
        <f t="shared" si="0"/>
        <v>1961.8505169999976</v>
      </c>
      <c r="L8" s="92">
        <f t="shared" si="0"/>
        <v>2012.817334999999</v>
      </c>
      <c r="M8" s="92">
        <f t="shared" si="0"/>
        <v>2038.7812309999977</v>
      </c>
      <c r="N8" s="50">
        <f t="shared" si="0"/>
        <v>2100.0613484</v>
      </c>
      <c r="O8" s="50">
        <f t="shared" si="0"/>
        <v>2149.0565700000002</v>
      </c>
      <c r="P8" s="437">
        <f t="shared" ref="P8" si="1">P9+P10+P11+P12</f>
        <v>2211.7780700000003</v>
      </c>
      <c r="Q8" s="51">
        <f>Q9+Q10+Q11+Q12</f>
        <v>2252.1257300000002</v>
      </c>
      <c r="R8" s="36"/>
      <c r="S8" s="36"/>
    </row>
    <row r="9" spans="2:50" s="1" customFormat="1" ht="17.5">
      <c r="B9" s="52" t="s">
        <v>256</v>
      </c>
      <c r="C9" s="53" t="s">
        <v>141</v>
      </c>
      <c r="D9" s="43" t="s">
        <v>11</v>
      </c>
      <c r="E9" s="95">
        <f>'Collecte et tri'!E59</f>
        <v>1895.2861559999999</v>
      </c>
      <c r="F9" s="95">
        <f>'Collecte et tri'!F59</f>
        <v>1890.4232360000001</v>
      </c>
      <c r="G9" s="95">
        <f>'Collecte et tri'!G59</f>
        <v>1920.7506819999987</v>
      </c>
      <c r="H9" s="95">
        <f>'Collecte et tri'!H59</f>
        <v>1909.97468399999</v>
      </c>
      <c r="I9" s="95">
        <f>'Collecte et tri'!I59</f>
        <v>1929.8620329999967</v>
      </c>
      <c r="J9" s="95">
        <f>'Collecte et tri'!J59</f>
        <v>1948.6192479999995</v>
      </c>
      <c r="K9" s="95">
        <f>'Collecte et tri'!K59</f>
        <v>1961.8505169999976</v>
      </c>
      <c r="L9" s="95">
        <f>'Collecte et tri'!L59</f>
        <v>2012.817334999999</v>
      </c>
      <c r="M9" s="95">
        <f>'Collecte et tri'!M59</f>
        <v>2038.5402809999975</v>
      </c>
      <c r="N9" s="48">
        <f>'Collecte et tri'!N59</f>
        <v>2099.7688484</v>
      </c>
      <c r="O9" s="48">
        <f>'Collecte et tri'!O59</f>
        <v>2148.6905700000002</v>
      </c>
      <c r="P9" s="436">
        <f>'Collecte et tri'!P59</f>
        <v>2211.3980700000002</v>
      </c>
      <c r="Q9" s="49">
        <f>'Collecte et tri'!Q59</f>
        <v>2251.7557300000003</v>
      </c>
      <c r="R9" s="36"/>
      <c r="S9" s="36"/>
    </row>
    <row r="10" spans="2:50" s="1" customFormat="1" ht="17.5">
      <c r="B10" s="52" t="s">
        <v>183</v>
      </c>
      <c r="C10" s="53" t="s">
        <v>289</v>
      </c>
      <c r="D10" s="43" t="s">
        <v>11</v>
      </c>
      <c r="E10" s="54"/>
      <c r="F10" s="54"/>
      <c r="G10" s="54"/>
      <c r="H10" s="55"/>
      <c r="I10" s="56"/>
      <c r="J10" s="56"/>
      <c r="K10" s="56"/>
      <c r="L10" s="126">
        <v>0</v>
      </c>
      <c r="M10" s="126">
        <v>0</v>
      </c>
      <c r="N10" s="58">
        <v>0.29249999999999998</v>
      </c>
      <c r="O10" s="58">
        <v>0</v>
      </c>
      <c r="P10" s="519">
        <v>0</v>
      </c>
      <c r="Q10" s="565">
        <v>0</v>
      </c>
      <c r="R10" s="36"/>
      <c r="S10" s="36"/>
    </row>
    <row r="11" spans="2:50" s="1" customFormat="1" ht="17.5">
      <c r="B11" s="52" t="s">
        <v>184</v>
      </c>
      <c r="C11" s="53" t="s">
        <v>289</v>
      </c>
      <c r="D11" s="43" t="s">
        <v>11</v>
      </c>
      <c r="E11" s="54"/>
      <c r="F11" s="54"/>
      <c r="G11" s="54"/>
      <c r="H11" s="55"/>
      <c r="I11" s="56"/>
      <c r="J11" s="56"/>
      <c r="K11" s="56"/>
      <c r="L11" s="56"/>
      <c r="M11" s="59"/>
      <c r="N11" s="56"/>
      <c r="O11" s="56"/>
      <c r="P11" s="394"/>
      <c r="Q11" s="113"/>
      <c r="R11" s="36"/>
      <c r="S11" s="36"/>
    </row>
    <row r="12" spans="2:50" s="1" customFormat="1" ht="17.5">
      <c r="B12" s="52" t="s">
        <v>185</v>
      </c>
      <c r="C12" s="53" t="s">
        <v>289</v>
      </c>
      <c r="D12" s="43" t="s">
        <v>11</v>
      </c>
      <c r="E12" s="54"/>
      <c r="F12" s="54"/>
      <c r="G12" s="54"/>
      <c r="H12" s="55"/>
      <c r="I12" s="56"/>
      <c r="J12" s="56"/>
      <c r="K12" s="56"/>
      <c r="L12" s="126">
        <v>0</v>
      </c>
      <c r="M12" s="126">
        <v>0.24095</v>
      </c>
      <c r="N12" s="127"/>
      <c r="O12" s="58">
        <v>0.36599999999999999</v>
      </c>
      <c r="P12" s="519">
        <v>0.38</v>
      </c>
      <c r="Q12" s="565">
        <v>0.37</v>
      </c>
      <c r="R12" s="36"/>
      <c r="S12" s="36"/>
    </row>
    <row r="13" spans="2:50" s="1" customFormat="1" ht="15" thickBot="1">
      <c r="B13" s="61" t="s">
        <v>92</v>
      </c>
      <c r="C13" s="62" t="s">
        <v>123</v>
      </c>
      <c r="D13" s="63" t="s">
        <v>3</v>
      </c>
      <c r="E13" s="64">
        <f>E8/E7</f>
        <v>0.79173735619398222</v>
      </c>
      <c r="F13" s="64">
        <f>F8/F7</f>
        <v>0.81529492986041641</v>
      </c>
      <c r="G13" s="64">
        <f>G8/G7</f>
        <v>0.82051315306669537</v>
      </c>
      <c r="H13" s="64">
        <f>H8/H7</f>
        <v>0.83185076866232222</v>
      </c>
      <c r="I13" s="64">
        <f t="shared" ref="I13:N13" si="2">I8/I7</f>
        <v>0.87015631822251682</v>
      </c>
      <c r="J13" s="64">
        <f t="shared" si="2"/>
        <v>0.85138304975020329</v>
      </c>
      <c r="K13" s="64">
        <f t="shared" si="2"/>
        <v>0.84203642509192167</v>
      </c>
      <c r="L13" s="64">
        <f t="shared" si="2"/>
        <v>0.85366229861587162</v>
      </c>
      <c r="M13" s="64">
        <f t="shared" si="2"/>
        <v>0.84897102966381943</v>
      </c>
      <c r="N13" s="64">
        <f t="shared" si="2"/>
        <v>0.83474019859679049</v>
      </c>
      <c r="O13" s="64">
        <f>O8/O7</f>
        <v>0.83985046029637911</v>
      </c>
      <c r="P13" s="438">
        <f>P8/P7</f>
        <v>0.87134916454337452</v>
      </c>
      <c r="Q13" s="65">
        <f>Q8/Q7</f>
        <v>0.87970056892497028</v>
      </c>
      <c r="R13" s="36"/>
      <c r="S13" s="36"/>
    </row>
    <row r="14" spans="2:50" s="1" customFormat="1" ht="15" thickBot="1">
      <c r="B14" s="83"/>
      <c r="C14" s="83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83"/>
      <c r="O14" s="36"/>
      <c r="P14" s="36"/>
      <c r="Q14" s="36"/>
      <c r="R14" s="36"/>
      <c r="S14" s="36"/>
    </row>
    <row r="15" spans="2:50" s="1" customFormat="1" ht="18">
      <c r="B15" s="38" t="s">
        <v>7</v>
      </c>
      <c r="C15" s="101"/>
      <c r="D15" s="39" t="s">
        <v>0</v>
      </c>
      <c r="E15" s="40">
        <v>2009</v>
      </c>
      <c r="F15" s="40">
        <v>2010</v>
      </c>
      <c r="G15" s="40">
        <v>2011</v>
      </c>
      <c r="H15" s="40">
        <v>2012</v>
      </c>
      <c r="I15" s="40">
        <v>2013</v>
      </c>
      <c r="J15" s="40">
        <v>2014</v>
      </c>
      <c r="K15" s="40">
        <v>2015</v>
      </c>
      <c r="L15" s="40">
        <v>2016</v>
      </c>
      <c r="M15" s="40">
        <v>2017</v>
      </c>
      <c r="N15" s="40">
        <v>2018</v>
      </c>
      <c r="O15" s="40">
        <v>2019</v>
      </c>
      <c r="P15" s="434">
        <v>2020</v>
      </c>
      <c r="Q15" s="41">
        <v>2021</v>
      </c>
      <c r="R15" s="36"/>
      <c r="S15" s="36"/>
    </row>
    <row r="16" spans="2:50" s="1" customFormat="1">
      <c r="B16" s="42" t="s">
        <v>6</v>
      </c>
      <c r="C16" s="390"/>
      <c r="D16" s="43"/>
      <c r="E16" s="44">
        <v>2010</v>
      </c>
      <c r="F16" s="44">
        <v>2011</v>
      </c>
      <c r="G16" s="44">
        <v>2012</v>
      </c>
      <c r="H16" s="44">
        <v>2013</v>
      </c>
      <c r="I16" s="44">
        <v>2014</v>
      </c>
      <c r="J16" s="44">
        <v>2015</v>
      </c>
      <c r="K16" s="44">
        <v>2016</v>
      </c>
      <c r="L16" s="44">
        <v>2017</v>
      </c>
      <c r="M16" s="44">
        <v>2018</v>
      </c>
      <c r="N16" s="44">
        <v>2019</v>
      </c>
      <c r="O16" s="44">
        <v>2020</v>
      </c>
      <c r="P16" s="435">
        <v>2021</v>
      </c>
      <c r="Q16" s="45">
        <v>2022</v>
      </c>
      <c r="R16" s="36"/>
      <c r="S16" s="36"/>
    </row>
    <row r="17" spans="2:19" s="1" customFormat="1" ht="30" customHeight="1">
      <c r="B17" s="654" t="s">
        <v>94</v>
      </c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655"/>
      <c r="Q17" s="656"/>
      <c r="R17" s="36"/>
      <c r="S17" s="36"/>
    </row>
    <row r="18" spans="2:19" s="1" customFormat="1" ht="17.5">
      <c r="B18" s="52" t="s">
        <v>61</v>
      </c>
      <c r="C18" s="53" t="s">
        <v>289</v>
      </c>
      <c r="D18" s="43" t="s">
        <v>3</v>
      </c>
      <c r="E18" s="68"/>
      <c r="F18" s="68"/>
      <c r="G18" s="68"/>
      <c r="H18" s="69"/>
      <c r="I18" s="56"/>
      <c r="J18" s="56"/>
      <c r="K18" s="70">
        <v>0.98</v>
      </c>
      <c r="L18" s="70">
        <v>0.98</v>
      </c>
      <c r="M18" s="70">
        <v>0.98</v>
      </c>
      <c r="N18" s="103">
        <v>0.98099999999999998</v>
      </c>
      <c r="O18" s="103">
        <v>0.98099999999999998</v>
      </c>
      <c r="P18" s="567">
        <v>0.98199999999999998</v>
      </c>
      <c r="Q18" s="566">
        <v>0.98099999999999998</v>
      </c>
      <c r="R18" s="36"/>
      <c r="S18" s="36"/>
    </row>
    <row r="19" spans="2:19" s="1" customFormat="1" ht="17.5">
      <c r="B19" s="52" t="s">
        <v>62</v>
      </c>
      <c r="C19" s="53" t="s">
        <v>289</v>
      </c>
      <c r="D19" s="43" t="s">
        <v>3</v>
      </c>
      <c r="E19" s="68"/>
      <c r="F19" s="68"/>
      <c r="G19" s="68"/>
      <c r="H19" s="69"/>
      <c r="I19" s="56"/>
      <c r="J19" s="56"/>
      <c r="K19" s="70">
        <v>0</v>
      </c>
      <c r="L19" s="70">
        <v>0</v>
      </c>
      <c r="M19" s="70">
        <v>0</v>
      </c>
      <c r="N19" s="103">
        <v>3.0000000000000001E-3</v>
      </c>
      <c r="O19" s="103">
        <v>3.0000000000000001E-3</v>
      </c>
      <c r="P19" s="567">
        <v>3.0000000000000001E-3</v>
      </c>
      <c r="Q19" s="566">
        <v>3.0000000000000001E-3</v>
      </c>
      <c r="R19" s="36"/>
      <c r="S19" s="36"/>
    </row>
    <row r="20" spans="2:19" s="1" customFormat="1" ht="17.5">
      <c r="B20" s="52" t="s">
        <v>63</v>
      </c>
      <c r="C20" s="53" t="s">
        <v>289</v>
      </c>
      <c r="D20" s="43" t="s">
        <v>3</v>
      </c>
      <c r="E20" s="68"/>
      <c r="F20" s="68"/>
      <c r="G20" s="68"/>
      <c r="H20" s="69"/>
      <c r="I20" s="56"/>
      <c r="J20" s="56"/>
      <c r="K20" s="70">
        <v>0.02</v>
      </c>
      <c r="L20" s="70">
        <v>0.02</v>
      </c>
      <c r="M20" s="70">
        <v>0.02</v>
      </c>
      <c r="N20" s="103">
        <v>1.6E-2</v>
      </c>
      <c r="O20" s="103">
        <v>1.6E-2</v>
      </c>
      <c r="P20" s="567">
        <v>1.4999999999999999E-2</v>
      </c>
      <c r="Q20" s="566">
        <v>1.6E-2</v>
      </c>
      <c r="R20" s="36"/>
      <c r="S20" s="36"/>
    </row>
    <row r="21" spans="2:19" s="1" customFormat="1">
      <c r="B21" s="46" t="s">
        <v>268</v>
      </c>
      <c r="C21" s="53" t="s">
        <v>289</v>
      </c>
      <c r="D21" s="43" t="s">
        <v>3</v>
      </c>
      <c r="E21" s="68"/>
      <c r="F21" s="68"/>
      <c r="G21" s="68"/>
      <c r="H21" s="69"/>
      <c r="I21" s="56"/>
      <c r="J21" s="56"/>
      <c r="K21" s="70">
        <f>1-(K22+K23)</f>
        <v>0.98</v>
      </c>
      <c r="L21" s="70">
        <f>1-(L22+L23)</f>
        <v>0.99</v>
      </c>
      <c r="M21" s="70">
        <f>1-(M22+M23)</f>
        <v>0.98</v>
      </c>
      <c r="N21" s="71">
        <f>1-(N22+N23)</f>
        <v>0.98</v>
      </c>
      <c r="O21" s="71">
        <f>1-(O22+O23)</f>
        <v>0.98</v>
      </c>
      <c r="P21" s="521">
        <v>0.96399999999999997</v>
      </c>
      <c r="Q21" s="524">
        <v>0.94799999999999995</v>
      </c>
      <c r="R21" s="36"/>
      <c r="S21" s="36"/>
    </row>
    <row r="22" spans="2:19" s="1" customFormat="1">
      <c r="B22" s="46" t="s">
        <v>64</v>
      </c>
      <c r="C22" s="53" t="s">
        <v>289</v>
      </c>
      <c r="D22" s="43" t="s">
        <v>3</v>
      </c>
      <c r="E22" s="68"/>
      <c r="F22" s="68"/>
      <c r="G22" s="68"/>
      <c r="H22" s="69"/>
      <c r="I22" s="56"/>
      <c r="J22" s="56"/>
      <c r="K22" s="70">
        <v>0.02</v>
      </c>
      <c r="L22" s="70">
        <v>0.01</v>
      </c>
      <c r="M22" s="70">
        <v>0.02</v>
      </c>
      <c r="N22" s="71">
        <v>0.02</v>
      </c>
      <c r="O22" s="71">
        <v>0.02</v>
      </c>
      <c r="P22" s="521">
        <v>2.1000000000000001E-2</v>
      </c>
      <c r="Q22" s="524">
        <v>5.1999999999999998E-2</v>
      </c>
      <c r="R22" s="36"/>
      <c r="S22" s="36"/>
    </row>
    <row r="23" spans="2:19" s="1" customFormat="1">
      <c r="B23" s="46" t="s">
        <v>45</v>
      </c>
      <c r="C23" s="53" t="s">
        <v>289</v>
      </c>
      <c r="D23" s="43" t="s">
        <v>3</v>
      </c>
      <c r="E23" s="68"/>
      <c r="F23" s="68"/>
      <c r="G23" s="68"/>
      <c r="H23" s="69"/>
      <c r="I23" s="56"/>
      <c r="J23" s="56"/>
      <c r="K23" s="70">
        <v>0</v>
      </c>
      <c r="L23" s="70">
        <v>0</v>
      </c>
      <c r="M23" s="70">
        <v>0</v>
      </c>
      <c r="N23" s="71">
        <v>0</v>
      </c>
      <c r="O23" s="71">
        <v>0</v>
      </c>
      <c r="P23" s="521">
        <v>1.0999999999999999E-2</v>
      </c>
      <c r="Q23" s="524">
        <v>0</v>
      </c>
      <c r="R23" s="36"/>
      <c r="S23" s="36"/>
    </row>
    <row r="24" spans="2:19" s="1" customFormat="1" ht="15" thickBot="1">
      <c r="B24" s="75" t="s">
        <v>48</v>
      </c>
      <c r="C24" s="62" t="s">
        <v>289</v>
      </c>
      <c r="D24" s="77" t="s">
        <v>3</v>
      </c>
      <c r="E24" s="78"/>
      <c r="F24" s="78"/>
      <c r="G24" s="78"/>
      <c r="H24" s="79"/>
      <c r="I24" s="80"/>
      <c r="J24" s="80"/>
      <c r="K24" s="81">
        <v>0.35199999999999998</v>
      </c>
      <c r="L24" s="82">
        <v>0.4</v>
      </c>
      <c r="M24" s="81">
        <v>0.40400000000000003</v>
      </c>
      <c r="N24" s="82">
        <v>0.39900000000000002</v>
      </c>
      <c r="O24" s="82">
        <v>0.41</v>
      </c>
      <c r="P24" s="531">
        <v>4.0000000000000001E-3</v>
      </c>
      <c r="Q24" s="532">
        <v>4.0000000000000001E-3</v>
      </c>
      <c r="R24" s="36"/>
      <c r="S24" s="36"/>
    </row>
    <row r="25" spans="2:19" s="1" customFormat="1" ht="15" thickBot="1">
      <c r="B25" s="83"/>
      <c r="C25" s="8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83"/>
      <c r="O25" s="36"/>
      <c r="P25" s="36"/>
      <c r="Q25" s="36"/>
      <c r="R25" s="36"/>
      <c r="S25" s="36"/>
    </row>
    <row r="26" spans="2:19" s="1" customFormat="1" ht="18">
      <c r="B26" s="38" t="s">
        <v>7</v>
      </c>
      <c r="C26" s="101"/>
      <c r="D26" s="39" t="s">
        <v>0</v>
      </c>
      <c r="E26" s="40">
        <v>2009</v>
      </c>
      <c r="F26" s="40">
        <v>2010</v>
      </c>
      <c r="G26" s="40">
        <v>2011</v>
      </c>
      <c r="H26" s="40">
        <v>2012</v>
      </c>
      <c r="I26" s="40">
        <v>2013</v>
      </c>
      <c r="J26" s="40">
        <v>2014</v>
      </c>
      <c r="K26" s="40">
        <v>2015</v>
      </c>
      <c r="L26" s="40">
        <v>2016</v>
      </c>
      <c r="M26" s="40">
        <v>2017</v>
      </c>
      <c r="N26" s="40">
        <v>2018</v>
      </c>
      <c r="O26" s="40">
        <v>2019</v>
      </c>
      <c r="P26" s="434">
        <v>2020</v>
      </c>
      <c r="Q26" s="41">
        <v>2021</v>
      </c>
      <c r="R26" s="36"/>
      <c r="S26" s="36"/>
    </row>
    <row r="27" spans="2:19" s="1" customFormat="1">
      <c r="B27" s="42" t="s">
        <v>6</v>
      </c>
      <c r="C27" s="390"/>
      <c r="D27" s="43"/>
      <c r="E27" s="44">
        <v>2010</v>
      </c>
      <c r="F27" s="44">
        <v>2011</v>
      </c>
      <c r="G27" s="44">
        <v>2012</v>
      </c>
      <c r="H27" s="44">
        <v>2013</v>
      </c>
      <c r="I27" s="44">
        <v>2014</v>
      </c>
      <c r="J27" s="44">
        <v>2015</v>
      </c>
      <c r="K27" s="44">
        <v>2016</v>
      </c>
      <c r="L27" s="44">
        <v>2017</v>
      </c>
      <c r="M27" s="44">
        <v>2018</v>
      </c>
      <c r="N27" s="44">
        <v>2019</v>
      </c>
      <c r="O27" s="44">
        <v>2020</v>
      </c>
      <c r="P27" s="435">
        <v>2021</v>
      </c>
      <c r="Q27" s="45">
        <v>2022</v>
      </c>
      <c r="R27" s="36"/>
      <c r="S27" s="36"/>
    </row>
    <row r="28" spans="2:19" s="1" customFormat="1" ht="30" customHeight="1">
      <c r="B28" s="654" t="s">
        <v>46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6"/>
      <c r="R28" s="36"/>
      <c r="S28" s="36"/>
    </row>
    <row r="29" spans="2:19" s="1" customFormat="1" ht="29">
      <c r="B29" s="46" t="s">
        <v>192</v>
      </c>
      <c r="C29" s="53" t="s">
        <v>289</v>
      </c>
      <c r="D29" s="43" t="s">
        <v>9</v>
      </c>
      <c r="E29" s="74">
        <f>'Mise sur le marché'!E97</f>
        <v>15.439941745101999</v>
      </c>
      <c r="F29" s="74">
        <f>'Mise sur le marché'!F97</f>
        <v>19</v>
      </c>
      <c r="G29" s="74">
        <f>'Mise sur le marché'!G97</f>
        <v>20.399999999999999</v>
      </c>
      <c r="H29" s="74">
        <f>'Mise sur le marché'!H97</f>
        <v>35</v>
      </c>
      <c r="I29" s="74">
        <f>'Mise sur le marché'!I97</f>
        <v>34</v>
      </c>
      <c r="J29" s="74">
        <f>'Mise sur le marché'!J97</f>
        <v>34.112227040018134</v>
      </c>
      <c r="K29" s="74">
        <f>'Mise sur le marché'!K97</f>
        <v>34</v>
      </c>
      <c r="L29" s="74">
        <f>'Mise sur le marché'!L97</f>
        <v>33</v>
      </c>
      <c r="M29" s="74">
        <f>'Mise sur le marché'!M97</f>
        <v>27.801231087144529</v>
      </c>
      <c r="N29" s="74">
        <f>'Mise sur le marché'!N97</f>
        <v>37.081436639843744</v>
      </c>
      <c r="O29" s="74">
        <f>'Mise sur le marché'!O97</f>
        <v>32.9821780974492</v>
      </c>
      <c r="P29" s="528">
        <f>'Mise sur le marché'!P97</f>
        <v>32.29815932084238</v>
      </c>
      <c r="Q29" s="529">
        <f>'Mise sur le marché'!Q97</f>
        <v>34.655678718200001</v>
      </c>
      <c r="R29" s="36"/>
      <c r="S29" s="36"/>
    </row>
    <row r="30" spans="2:19" s="1" customFormat="1">
      <c r="B30" s="87" t="s">
        <v>66</v>
      </c>
      <c r="C30" s="105" t="s">
        <v>123</v>
      </c>
      <c r="D30" s="106" t="s">
        <v>2</v>
      </c>
      <c r="E30" s="109">
        <f t="shared" ref="E30:Q30" si="3">E29/E7*1000</f>
        <v>6.4498854794864853</v>
      </c>
      <c r="F30" s="109">
        <f t="shared" si="3"/>
        <v>8.1942516217293839</v>
      </c>
      <c r="G30" s="109">
        <f t="shared" si="3"/>
        <v>8.7145450366996648</v>
      </c>
      <c r="H30" s="109">
        <f t="shared" si="3"/>
        <v>15.243540737517664</v>
      </c>
      <c r="I30" s="109">
        <f t="shared" si="3"/>
        <v>15.330274555209938</v>
      </c>
      <c r="J30" s="109">
        <f t="shared" si="3"/>
        <v>14.904179931975092</v>
      </c>
      <c r="K30" s="109">
        <f t="shared" si="3"/>
        <v>14.5929764806466</v>
      </c>
      <c r="L30" s="109">
        <f t="shared" si="3"/>
        <v>13.995733922037083</v>
      </c>
      <c r="M30" s="109">
        <f t="shared" si="3"/>
        <v>11.576739781147664</v>
      </c>
      <c r="N30" s="109">
        <f t="shared" si="3"/>
        <v>14.739267406916611</v>
      </c>
      <c r="O30" s="128">
        <f t="shared" si="3"/>
        <v>12.889422197350468</v>
      </c>
      <c r="P30" s="440">
        <f t="shared" ref="P30" si="4">P29/P7*1000</f>
        <v>12.724140148701631</v>
      </c>
      <c r="Q30" s="89">
        <f t="shared" si="3"/>
        <v>13.53681984925483</v>
      </c>
      <c r="R30" s="36"/>
      <c r="S30" s="36"/>
    </row>
    <row r="31" spans="2:19" s="1" customFormat="1" ht="29">
      <c r="B31" s="46" t="s">
        <v>75</v>
      </c>
      <c r="C31" s="53" t="s">
        <v>289</v>
      </c>
      <c r="D31" s="43" t="s">
        <v>9</v>
      </c>
      <c r="E31" s="74">
        <v>25.222000000000001</v>
      </c>
      <c r="F31" s="74">
        <v>22.946000000000002</v>
      </c>
      <c r="G31" s="74">
        <v>27</v>
      </c>
      <c r="H31" s="74">
        <v>28</v>
      </c>
      <c r="I31" s="74">
        <v>26</v>
      </c>
      <c r="J31" s="74">
        <v>27</v>
      </c>
      <c r="K31" s="74">
        <v>27.7</v>
      </c>
      <c r="L31" s="74">
        <v>29.151361439999999</v>
      </c>
      <c r="M31" s="74">
        <v>30.2</v>
      </c>
      <c r="N31" s="74">
        <v>37.4</v>
      </c>
      <c r="O31" s="74">
        <v>38.093225180758999</v>
      </c>
      <c r="P31" s="528">
        <v>41.024715709131421</v>
      </c>
      <c r="Q31" s="529">
        <v>42.362641483043383</v>
      </c>
      <c r="R31" s="36"/>
      <c r="S31" s="36"/>
    </row>
    <row r="32" spans="2:19" s="1" customFormat="1">
      <c r="B32" s="87" t="s">
        <v>67</v>
      </c>
      <c r="C32" s="105" t="s">
        <v>123</v>
      </c>
      <c r="D32" s="106" t="s">
        <v>2</v>
      </c>
      <c r="E32" s="109">
        <f t="shared" ref="E32:Q32" si="5">E31/E7*1000</f>
        <v>10.536245165252303</v>
      </c>
      <c r="F32" s="109">
        <f t="shared" si="5"/>
        <v>9.8960683006422361</v>
      </c>
      <c r="G32" s="109">
        <f t="shared" si="5"/>
        <v>11.533956666220146</v>
      </c>
      <c r="H32" s="109">
        <f t="shared" si="5"/>
        <v>12.194832590014132</v>
      </c>
      <c r="I32" s="109">
        <f t="shared" si="5"/>
        <v>11.723151130454658</v>
      </c>
      <c r="J32" s="109">
        <f t="shared" si="5"/>
        <v>11.796733695845898</v>
      </c>
      <c r="K32" s="109">
        <f t="shared" si="5"/>
        <v>11.888983779820906</v>
      </c>
      <c r="L32" s="109">
        <f t="shared" si="5"/>
        <v>12.363475702405204</v>
      </c>
      <c r="M32" s="109">
        <f t="shared" si="5"/>
        <v>12.575613658789552</v>
      </c>
      <c r="N32" s="109">
        <f t="shared" si="5"/>
        <v>14.865891156610919</v>
      </c>
      <c r="O32" s="128">
        <f t="shared" si="5"/>
        <v>14.886817382491733</v>
      </c>
      <c r="P32" s="440">
        <f t="shared" ref="P32" si="6">P31/P7*1000</f>
        <v>16.162042767148474</v>
      </c>
      <c r="Q32" s="89">
        <f t="shared" si="5"/>
        <v>16.54722883246745</v>
      </c>
      <c r="R32" s="36"/>
      <c r="S32" s="36"/>
    </row>
    <row r="33" spans="2:55" s="1" customFormat="1" ht="15" thickBot="1">
      <c r="B33" s="75" t="s">
        <v>51</v>
      </c>
      <c r="C33" s="76" t="s">
        <v>289</v>
      </c>
      <c r="D33" s="77" t="s">
        <v>2</v>
      </c>
      <c r="E33" s="129">
        <v>19.91</v>
      </c>
      <c r="F33" s="129">
        <v>22.42</v>
      </c>
      <c r="G33" s="129">
        <v>22.2</v>
      </c>
      <c r="H33" s="129">
        <v>21.45</v>
      </c>
      <c r="I33" s="129">
        <v>21.75</v>
      </c>
      <c r="J33" s="129">
        <v>22.45</v>
      </c>
      <c r="K33" s="481">
        <f>'Indicateurs économiques - Citeo'!K138</f>
        <v>23.3</v>
      </c>
      <c r="L33" s="481">
        <f>'Indicateurs économiques - Citeo'!L138</f>
        <v>23.3</v>
      </c>
      <c r="M33" s="481">
        <f>'Indicateurs économiques - Citeo'!M138</f>
        <v>23.5</v>
      </c>
      <c r="N33" s="481">
        <f>'Indicateurs économiques - Citeo'!N138</f>
        <v>24.38</v>
      </c>
      <c r="O33" s="481">
        <f>'Indicateurs économiques - Citeo'!O138</f>
        <v>24.38</v>
      </c>
      <c r="P33" s="481">
        <f>'Indicateurs économiques - Citeo'!P138</f>
        <v>18.79</v>
      </c>
      <c r="Q33" s="530">
        <f>'Indicateurs économiques - Citeo'!Q138</f>
        <v>16.84</v>
      </c>
      <c r="R33" s="36"/>
      <c r="S33" s="36"/>
    </row>
    <row r="34" spans="2:55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2:5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2:5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2:5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2:55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2:5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2:5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2:5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2:5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2:5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2:5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2:5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2:5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2:5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2:5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2:5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2:5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2:5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2:5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2:5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2:5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2:5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2:5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2:55" s="1" customForma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2:55" s="1" customFormat="1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2:55" s="1" customFormat="1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spans="2:55" s="1" customFormat="1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</row>
    <row r="61" spans="2:55" s="1" customFormat="1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</row>
    <row r="62" spans="2:55" s="1" customFormat="1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2:55" s="1" customFormat="1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2:55" s="1" customFormat="1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2:19" s="1" customFormat="1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2:19" s="1" customFormat="1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</row>
    <row r="67" spans="2:19" s="1" customFormat="1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</row>
    <row r="68" spans="2:19" s="1" customFormat="1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2:19" s="1" customFormat="1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2:19" s="1" customForma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2:19" s="1" customFormat="1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2:19" s="1" customFormat="1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2:19" s="1" customFormat="1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2:19" s="1" customFormat="1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</row>
    <row r="75" spans="2:19" s="1" customFormat="1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</row>
    <row r="76" spans="2:19" s="1" customFormat="1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</row>
    <row r="77" spans="2:19" s="1" customFormat="1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</row>
    <row r="78" spans="2:19" s="1" customFormat="1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</row>
    <row r="79" spans="2:19" s="1" customFormat="1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</row>
    <row r="80" spans="2:19" s="1" customFormat="1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</row>
    <row r="81" spans="2:19" s="1" customFormat="1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2:19" s="1" customFormat="1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</row>
    <row r="83" spans="2:19" s="1" customForma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</row>
    <row r="84" spans="2:19" s="1" customFormat="1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</row>
    <row r="85" spans="2:19" s="1" customForma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</row>
    <row r="86" spans="2:19" s="1" customFormat="1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</row>
    <row r="87" spans="2:19" s="1" customFormat="1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</row>
    <row r="88" spans="2:19" s="1" customFormat="1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</row>
    <row r="89" spans="2:19" s="1" customFormat="1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</row>
    <row r="90" spans="2:19" s="1" customFormat="1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2:19" s="1" customFormat="1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</row>
    <row r="92" spans="2:19" s="1" customFormat="1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</row>
    <row r="93" spans="2:19" s="1" customFormat="1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2:19" s="1" customFormat="1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2:19" s="1" customFormat="1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2:19" s="1" customFormat="1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2:19" s="1" customFormat="1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</row>
    <row r="98" spans="2:19" s="1" customFormat="1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2:19" s="1" customFormat="1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</row>
    <row r="100" spans="2:19" s="1" customForma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2:19" s="1" customForma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2:19" s="1" customForma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2:19" s="1" customForma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</row>
    <row r="104" spans="2:19" s="1" customForma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2:19" s="1" customForma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2:19" s="1" customForma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2:19" s="1" customForma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2:19" s="1" customForma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2:19" s="1" customForma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spans="2:19" s="1" customForma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</row>
    <row r="111" spans="2:19" s="1" customForma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</row>
    <row r="112" spans="2:19" s="1" customForma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</row>
    <row r="113" spans="2:19" s="1" customForma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2:19" s="1" customForma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2:19" s="1" customForma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2:19" s="1" customForma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2:19" s="1" customForma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2:19" s="1" customForma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2:19" s="1" customForma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2:19" s="1" customFormat="1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2:19" s="1" customFormat="1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2:19" s="1" customFormat="1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2:19" s="1" customFormat="1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2:19" s="1" customFormat="1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2:19" s="1" customFormat="1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2:19" s="1" customForma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2:19" s="1" customFormat="1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2:19" s="1" customFormat="1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2:19" s="1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2:19" s="1" customFormat="1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2:19" s="1" customFormat="1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2:19" s="1" customFormat="1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2:19" s="1" customFormat="1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2:19" s="1" customFormat="1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</row>
    <row r="135" spans="2:19" s="1" customFormat="1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</row>
    <row r="136" spans="2:19" s="1" customFormat="1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2:19" s="1" customFormat="1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</row>
    <row r="138" spans="2:19" s="1" customFormat="1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2:19" s="1" customFormat="1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2:19" s="1" customFormat="1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2:19" s="1" customFormat="1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2:19" s="1" customFormat="1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2:19" s="1" customForma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2:19" s="1" customFormat="1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2:19" s="1" customFormat="1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2:19" s="1" customFormat="1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2:19" s="1" customFormat="1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2:19" s="1" customFormat="1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2:19" s="1" customFormat="1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2:19" s="1" customFormat="1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2:19" s="1" customFormat="1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2:19" s="1" customFormat="1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2:19" s="1" customFormat="1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2:19" s="1" customFormat="1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</row>
    <row r="155" spans="2:19" s="1" customFormat="1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2:19" s="1" customForma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2:19" s="1" customFormat="1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2:19" s="1" customFormat="1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2:19" s="1" customFormat="1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</row>
    <row r="160" spans="2:19" s="1" customFormat="1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2:19" s="1" customFormat="1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2:19" s="1" customFormat="1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</row>
    <row r="163" spans="2:19" s="1" customFormat="1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2:19" s="1" customFormat="1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2:19" s="1" customFormat="1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2:19" s="1" customFormat="1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2:19" s="1" customFormat="1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2:19" s="1" customFormat="1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2:19" s="1" customForma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2:19" s="1" customFormat="1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2:19" s="1" customFormat="1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2:19" s="1" customFormat="1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2:19" s="1" customFormat="1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2:19" s="1" customFormat="1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spans="2:19" s="1" customFormat="1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</row>
    <row r="176" spans="2:19" s="1" customFormat="1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</row>
    <row r="177" spans="2:19" s="1" customFormat="1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</row>
    <row r="178" spans="2:19" s="1" customFormat="1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</row>
    <row r="179" spans="2:19" s="1" customFormat="1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</row>
    <row r="180" spans="2:19" s="1" customFormat="1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</row>
    <row r="181" spans="2:19" s="1" customFormat="1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</row>
    <row r="182" spans="2:19" s="1" customFormat="1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</row>
    <row r="183" spans="2:19" s="1" customFormat="1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</row>
    <row r="184" spans="2:19" s="1" customFormat="1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</row>
    <row r="185" spans="2:19" s="1" customFormat="1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</row>
    <row r="186" spans="2:19" s="1" customForma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2:19" s="1" customFormat="1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</row>
    <row r="188" spans="2:19" s="1" customFormat="1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</row>
    <row r="189" spans="2:19" s="1" customFormat="1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</row>
    <row r="190" spans="2:19" s="1" customFormat="1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</row>
    <row r="191" spans="2:19" s="1" customFormat="1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</row>
    <row r="192" spans="2:19" s="1" customFormat="1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</row>
    <row r="193" spans="2:19" s="1" customFormat="1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</row>
    <row r="194" spans="2:19" s="1" customFormat="1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</row>
    <row r="195" spans="2:19" s="1" customFormat="1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</row>
    <row r="196" spans="2:19" s="1" customFormat="1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spans="2:19" s="1" customFormat="1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</row>
    <row r="198" spans="2:19" s="1" customFormat="1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</row>
    <row r="199" spans="2:19" s="1" customForma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</row>
    <row r="200" spans="2:19" s="1" customFormat="1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</row>
    <row r="201" spans="2:19" s="1" customFormat="1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</row>
    <row r="202" spans="2:19" s="1" customFormat="1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</row>
    <row r="203" spans="2:19" s="1" customFormat="1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</row>
    <row r="204" spans="2:19" s="1" customFormat="1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</row>
    <row r="205" spans="2:19" s="1" customFormat="1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</row>
    <row r="206" spans="2:19" s="1" customFormat="1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</row>
    <row r="207" spans="2:19" s="1" customFormat="1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</row>
    <row r="208" spans="2:19" s="1" customFormat="1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</row>
    <row r="209" spans="2:19" s="1" customFormat="1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</row>
    <row r="210" spans="2:19" s="1" customFormat="1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</row>
    <row r="211" spans="2:19" s="1" customFormat="1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</row>
    <row r="212" spans="2:19" s="1" customForma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</row>
    <row r="213" spans="2:19" s="1" customFormat="1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</row>
    <row r="214" spans="2:19" s="1" customFormat="1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</row>
    <row r="215" spans="2:19" s="1" customFormat="1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</row>
    <row r="216" spans="2:19" s="1" customFormat="1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</row>
    <row r="217" spans="2:19" s="1" customFormat="1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</row>
    <row r="218" spans="2:19" s="1" customFormat="1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</row>
    <row r="219" spans="2:19" s="1" customFormat="1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</row>
    <row r="220" spans="2:19" s="1" customFormat="1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</row>
    <row r="221" spans="2:19" s="1" customFormat="1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</row>
    <row r="222" spans="2:19" s="1" customFormat="1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</row>
    <row r="223" spans="2:19" s="1" customFormat="1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</row>
    <row r="224" spans="2:19" s="1" customFormat="1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</row>
    <row r="225" spans="2:19" s="1" customFormat="1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</row>
    <row r="226" spans="2:19" s="1" customFormat="1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</row>
    <row r="227" spans="2:19" s="1" customFormat="1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</row>
    <row r="228" spans="2:19" s="1" customFormat="1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</row>
    <row r="229" spans="2:19" s="1" customForma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</row>
    <row r="230" spans="2:19" s="1" customFormat="1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</row>
    <row r="231" spans="2:19" s="1" customFormat="1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</row>
    <row r="232" spans="2:19" s="1" customFormat="1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</row>
    <row r="233" spans="2:19" s="1" customFormat="1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</row>
    <row r="234" spans="2:19" s="1" customFormat="1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</row>
    <row r="235" spans="2:19" s="1" customFormat="1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</row>
    <row r="236" spans="2:19" s="1" customFormat="1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</row>
    <row r="237" spans="2:19" s="1" customFormat="1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</row>
    <row r="238" spans="2:19" s="1" customFormat="1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</row>
    <row r="239" spans="2:19" s="1" customFormat="1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</row>
    <row r="240" spans="2:19" s="1" customFormat="1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</row>
    <row r="241" spans="2:19" s="1" customFormat="1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</row>
    <row r="242" spans="2:19" s="1" customForma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</row>
    <row r="243" spans="2:19" s="1" customFormat="1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</row>
    <row r="244" spans="2:19" s="1" customFormat="1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</row>
    <row r="245" spans="2:19" s="1" customFormat="1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</row>
    <row r="246" spans="2:19" s="1" customFormat="1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</row>
    <row r="247" spans="2:19" s="1" customFormat="1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</row>
    <row r="248" spans="2:19" s="1" customFormat="1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</row>
    <row r="249" spans="2:19" s="1" customFormat="1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</row>
    <row r="250" spans="2:19" s="1" customFormat="1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</row>
    <row r="251" spans="2:19" s="1" customFormat="1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</row>
    <row r="252" spans="2:19" s="1" customFormat="1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</row>
    <row r="253" spans="2:19" s="1" customFormat="1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</row>
    <row r="254" spans="2:19" s="1" customFormat="1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</row>
    <row r="255" spans="2:19" s="1" customForma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</row>
    <row r="256" spans="2:19" s="1" customFormat="1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</row>
    <row r="257" spans="2:19" s="1" customFormat="1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</row>
    <row r="258" spans="2:19" s="1" customFormat="1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</row>
    <row r="259" spans="2:19" s="1" customFormat="1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</row>
    <row r="260" spans="2:19" s="1" customFormat="1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</row>
    <row r="261" spans="2:19" s="1" customFormat="1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</row>
    <row r="262" spans="2:19" s="1" customFormat="1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</row>
    <row r="263" spans="2:19" s="1" customFormat="1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</row>
    <row r="264" spans="2:19" s="1" customFormat="1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</row>
    <row r="265" spans="2:19" s="1" customFormat="1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</row>
    <row r="266" spans="2:19" s="1" customFormat="1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</row>
    <row r="267" spans="2:19" s="1" customFormat="1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</row>
    <row r="268" spans="2:19" s="1" customFormat="1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</row>
    <row r="269" spans="2:19" s="1" customFormat="1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</row>
    <row r="270" spans="2:19" s="1" customFormat="1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</row>
    <row r="271" spans="2:19" s="1" customFormat="1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</row>
    <row r="272" spans="2:19" s="1" customForma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</row>
    <row r="273" spans="2:19" s="1" customFormat="1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</row>
    <row r="274" spans="2:19" s="1" customFormat="1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</row>
    <row r="275" spans="2:19" s="1" customFormat="1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</row>
    <row r="276" spans="2:19" s="1" customFormat="1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</row>
    <row r="277" spans="2:19" s="1" customFormat="1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</row>
    <row r="278" spans="2:19" s="1" customFormat="1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</row>
    <row r="279" spans="2:19" s="1" customFormat="1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</row>
    <row r="280" spans="2:19" s="1" customFormat="1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</row>
    <row r="281" spans="2:19" s="1" customFormat="1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</row>
    <row r="282" spans="2:19" s="1" customFormat="1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</row>
    <row r="283" spans="2:19" s="1" customFormat="1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</row>
    <row r="284" spans="2:19" s="1" customFormat="1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</row>
    <row r="285" spans="2:19" s="1" customForma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</row>
    <row r="286" spans="2:19" s="1" customFormat="1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</row>
    <row r="287" spans="2:19" s="1" customFormat="1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</row>
    <row r="288" spans="2:19" s="1" customFormat="1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</row>
    <row r="289" spans="2:19" s="1" customFormat="1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</row>
    <row r="290" spans="2:19" s="1" customFormat="1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</row>
    <row r="291" spans="2:19" s="1" customFormat="1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</row>
    <row r="292" spans="2:19" s="1" customFormat="1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</row>
    <row r="293" spans="2:19" s="1" customFormat="1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</row>
    <row r="294" spans="2:19" s="1" customFormat="1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</row>
    <row r="295" spans="2:19" s="1" customFormat="1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</row>
    <row r="296" spans="2:19" s="1" customFormat="1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</row>
    <row r="297" spans="2:19" s="1" customFormat="1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</row>
    <row r="298" spans="2:19" s="1" customForma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</row>
    <row r="299" spans="2:19" s="1" customFormat="1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</row>
    <row r="300" spans="2:19" s="1" customFormat="1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</row>
    <row r="301" spans="2:19" s="1" customFormat="1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</row>
    <row r="302" spans="2:19" s="1" customFormat="1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</row>
    <row r="303" spans="2:19" s="1" customFormat="1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</row>
    <row r="304" spans="2:19" s="1" customFormat="1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</row>
    <row r="305" spans="2:19" s="1" customFormat="1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</row>
    <row r="306" spans="2:19" s="1" customFormat="1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</row>
    <row r="307" spans="2:19" s="1" customFormat="1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</row>
    <row r="308" spans="2:19" s="1" customFormat="1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</row>
    <row r="309" spans="2:19" s="1" customFormat="1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</row>
    <row r="310" spans="2:19" s="1" customFormat="1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</row>
    <row r="311" spans="2:19" s="1" customFormat="1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</row>
    <row r="312" spans="2:19" s="1" customFormat="1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</row>
    <row r="313" spans="2:19" s="1" customFormat="1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</row>
    <row r="314" spans="2:19" s="1" customFormat="1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</row>
    <row r="315" spans="2:19" s="1" customForma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</row>
    <row r="316" spans="2:19" s="1" customFormat="1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</row>
    <row r="317" spans="2:19" s="1" customFormat="1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</row>
    <row r="318" spans="2:19" s="1" customFormat="1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</row>
    <row r="319" spans="2:19" s="1" customFormat="1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</row>
    <row r="320" spans="2:19" s="1" customFormat="1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</row>
    <row r="321" spans="2:19" s="1" customFormat="1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</row>
    <row r="322" spans="2:19" s="1" customFormat="1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</row>
    <row r="323" spans="2:19" s="1" customFormat="1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</row>
    <row r="324" spans="2:19" s="1" customFormat="1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</row>
    <row r="325" spans="2:19" s="1" customFormat="1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</row>
    <row r="326" spans="2:19" s="1" customFormat="1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</row>
    <row r="327" spans="2:19" s="1" customFormat="1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</row>
    <row r="328" spans="2:19" s="1" customForma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</row>
    <row r="329" spans="2:19" s="1" customFormat="1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</row>
    <row r="330" spans="2:19" s="1" customFormat="1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</row>
    <row r="331" spans="2:19" s="1" customFormat="1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</row>
    <row r="332" spans="2:19" s="1" customFormat="1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</row>
    <row r="333" spans="2:19" s="1" customFormat="1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</row>
    <row r="334" spans="2:19" s="1" customFormat="1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</row>
    <row r="335" spans="2:19" s="1" customFormat="1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</row>
    <row r="336" spans="2:19" s="1" customFormat="1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</row>
    <row r="337" spans="2:19" s="1" customFormat="1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</row>
    <row r="338" spans="2:19" s="1" customFormat="1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</row>
    <row r="339" spans="2:19" s="1" customFormat="1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</row>
    <row r="340" spans="2:19" s="1" customFormat="1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</row>
    <row r="341" spans="2:19" s="1" customForma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</row>
    <row r="342" spans="2:19" s="1" customFormat="1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</row>
    <row r="343" spans="2:19" s="1" customFormat="1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</row>
    <row r="344" spans="2:19" s="1" customFormat="1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</row>
    <row r="345" spans="2:19" s="1" customFormat="1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</row>
    <row r="346" spans="2:19" s="1" customFormat="1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</row>
    <row r="347" spans="2:19" s="1" customFormat="1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</row>
    <row r="348" spans="2:19" s="1" customFormat="1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</row>
    <row r="349" spans="2:19" s="1" customFormat="1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</row>
    <row r="350" spans="2:19" s="1" customFormat="1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</row>
    <row r="351" spans="2:19" s="1" customFormat="1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</row>
    <row r="352" spans="2:19" s="1" customFormat="1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</row>
    <row r="353" spans="2:19" s="1" customFormat="1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</row>
    <row r="354" spans="2:19" s="1" customFormat="1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</row>
    <row r="355" spans="2:19" s="1" customFormat="1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</row>
    <row r="356" spans="2:19" s="1" customFormat="1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</row>
    <row r="357" spans="2:19" s="1" customFormat="1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</row>
    <row r="358" spans="2:19" s="1" customForma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</row>
    <row r="359" spans="2:19" s="1" customFormat="1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</row>
    <row r="360" spans="2:19" s="1" customFormat="1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</row>
    <row r="361" spans="2:19" s="1" customFormat="1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</row>
    <row r="362" spans="2:19" s="1" customFormat="1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</row>
    <row r="363" spans="2:19" s="1" customFormat="1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</row>
    <row r="364" spans="2:19" s="1" customFormat="1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</row>
    <row r="365" spans="2:19" s="1" customFormat="1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2:19" s="1" customFormat="1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</row>
    <row r="367" spans="2:19" s="1" customFormat="1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</row>
    <row r="368" spans="2:19" s="1" customFormat="1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</row>
    <row r="369" spans="2:19" s="1" customFormat="1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</row>
    <row r="370" spans="2:19" s="1" customFormat="1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</row>
    <row r="371" spans="2:19" s="1" customForma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</row>
    <row r="372" spans="2:19" s="1" customFormat="1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</row>
    <row r="373" spans="2:19" s="1" customFormat="1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</row>
    <row r="374" spans="2:19" s="1" customFormat="1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</row>
    <row r="375" spans="2:19" s="1" customFormat="1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</row>
    <row r="376" spans="2:19" s="1" customFormat="1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</row>
    <row r="377" spans="2:19" s="1" customFormat="1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</row>
    <row r="378" spans="2:19" s="1" customFormat="1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</row>
    <row r="379" spans="2:19" s="1" customFormat="1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</row>
    <row r="380" spans="2:19" s="1" customFormat="1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</row>
    <row r="381" spans="2:19" s="1" customFormat="1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</row>
    <row r="382" spans="2:19" s="1" customFormat="1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</row>
    <row r="383" spans="2:19" s="1" customFormat="1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</row>
    <row r="384" spans="2:19" s="1" customForma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</row>
    <row r="385" spans="2:19" s="1" customFormat="1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</row>
    <row r="386" spans="2:19" s="1" customFormat="1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</row>
    <row r="387" spans="2:19" s="1" customFormat="1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</row>
    <row r="388" spans="2:19" s="1" customFormat="1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</row>
    <row r="389" spans="2:19" s="1" customFormat="1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</row>
    <row r="390" spans="2:19" s="1" customFormat="1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</row>
    <row r="391" spans="2:19" s="1" customFormat="1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</row>
    <row r="392" spans="2:19" s="1" customFormat="1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</row>
    <row r="393" spans="2:19" s="1" customFormat="1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</row>
    <row r="394" spans="2:19" s="1" customFormat="1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</row>
    <row r="395" spans="2:19" s="1" customFormat="1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</row>
    <row r="396" spans="2:19" s="1" customFormat="1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</row>
    <row r="397" spans="2:19" s="1" customFormat="1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</row>
    <row r="398" spans="2:19" s="1" customFormat="1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</row>
    <row r="399" spans="2:19" s="1" customFormat="1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</row>
    <row r="400" spans="2:19" s="1" customFormat="1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</row>
    <row r="401" spans="2:19" s="1" customForma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</row>
    <row r="402" spans="2:19" s="1" customFormat="1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</row>
    <row r="403" spans="2:19" s="1" customFormat="1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</row>
    <row r="404" spans="2:19" s="1" customFormat="1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</row>
    <row r="405" spans="2:19" s="1" customFormat="1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</row>
    <row r="406" spans="2:19" s="1" customFormat="1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</row>
    <row r="407" spans="2:19" s="1" customFormat="1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</row>
    <row r="408" spans="2:19" s="1" customFormat="1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</row>
    <row r="409" spans="2:19" s="1" customFormat="1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</row>
    <row r="410" spans="2:19" s="1" customFormat="1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</row>
    <row r="411" spans="2:19" s="1" customFormat="1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</row>
    <row r="412" spans="2:19" s="1" customFormat="1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</row>
    <row r="413" spans="2:19" s="1" customFormat="1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</row>
    <row r="414" spans="2:19" s="1" customForma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</row>
    <row r="415" spans="2:19" s="1" customFormat="1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</row>
    <row r="416" spans="2:19" s="1" customFormat="1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</row>
    <row r="417" spans="2:19" s="1" customFormat="1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</row>
    <row r="418" spans="2:19" s="1" customFormat="1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</row>
    <row r="419" spans="2:19" s="1" customFormat="1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</row>
    <row r="420" spans="2:19" s="1" customFormat="1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</row>
    <row r="421" spans="2:19" s="1" customFormat="1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</row>
    <row r="422" spans="2:19" s="1" customFormat="1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</row>
    <row r="423" spans="2:19" s="1" customFormat="1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</row>
    <row r="424" spans="2:19" s="1" customFormat="1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</row>
    <row r="425" spans="2:19" s="1" customFormat="1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</row>
    <row r="426" spans="2:19" s="1" customFormat="1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</row>
    <row r="427" spans="2:19" s="1" customForma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</row>
    <row r="428" spans="2:19" s="1" customFormat="1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</row>
    <row r="429" spans="2:19" s="1" customFormat="1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</row>
    <row r="430" spans="2:19" s="1" customFormat="1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</row>
    <row r="431" spans="2:19" s="1" customFormat="1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</row>
    <row r="432" spans="2:19" s="1" customFormat="1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</row>
    <row r="433" spans="2:19" s="1" customFormat="1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</row>
    <row r="434" spans="2:19" s="1" customFormat="1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</row>
    <row r="435" spans="2:19" s="1" customFormat="1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</row>
    <row r="436" spans="2:19" s="1" customFormat="1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</row>
    <row r="437" spans="2:19" s="1" customFormat="1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</row>
    <row r="438" spans="2:19" s="1" customFormat="1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</row>
    <row r="439" spans="2:19" s="1" customFormat="1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</row>
    <row r="440" spans="2:19" s="1" customFormat="1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</row>
    <row r="441" spans="2:19" s="1" customFormat="1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</row>
    <row r="442" spans="2:19" s="1" customFormat="1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</row>
    <row r="443" spans="2:19" s="1" customFormat="1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</row>
    <row r="444" spans="2:19" s="1" customForma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</row>
    <row r="445" spans="2:19" s="1" customFormat="1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</row>
    <row r="446" spans="2:19" s="1" customFormat="1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</row>
    <row r="447" spans="2:19" s="1" customFormat="1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</row>
    <row r="448" spans="2:19" s="1" customFormat="1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</row>
    <row r="449" spans="2:19" s="1" customFormat="1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</row>
    <row r="450" spans="2:19" s="1" customFormat="1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</row>
    <row r="451" spans="2:19" s="1" customFormat="1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</row>
    <row r="452" spans="2:19" s="1" customFormat="1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</row>
    <row r="453" spans="2:19" s="1" customFormat="1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</row>
    <row r="454" spans="2:19" s="1" customFormat="1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</row>
    <row r="455" spans="2:19" s="1" customFormat="1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</row>
    <row r="456" spans="2:19" s="1" customFormat="1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</row>
    <row r="457" spans="2:19" s="1" customForma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</row>
    <row r="458" spans="2:19" s="1" customFormat="1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</row>
    <row r="459" spans="2:19" s="1" customFormat="1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</row>
    <row r="460" spans="2:19" s="1" customFormat="1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</row>
    <row r="461" spans="2:19" s="1" customFormat="1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</row>
    <row r="462" spans="2:19" s="1" customFormat="1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</row>
    <row r="463" spans="2:19" s="1" customFormat="1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</row>
    <row r="464" spans="2:19" s="1" customFormat="1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</row>
    <row r="465" spans="2:19" s="1" customFormat="1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</row>
    <row r="466" spans="2:19" s="1" customFormat="1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</row>
    <row r="467" spans="2:19" s="1" customFormat="1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</row>
    <row r="468" spans="2:19" s="1" customFormat="1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</row>
    <row r="469" spans="2:19" s="1" customFormat="1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</row>
    <row r="470" spans="2:19" s="1" customForma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</row>
    <row r="471" spans="2:19" s="1" customFormat="1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</row>
    <row r="472" spans="2:19" s="1" customFormat="1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</row>
    <row r="473" spans="2:19" s="1" customFormat="1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</row>
    <row r="474" spans="2:19" s="1" customFormat="1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</row>
    <row r="475" spans="2:19" s="1" customFormat="1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</row>
    <row r="476" spans="2:19" s="1" customFormat="1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</row>
    <row r="477" spans="2:19" s="1" customFormat="1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</row>
    <row r="478" spans="2:19" s="1" customFormat="1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</row>
    <row r="479" spans="2:19" s="1" customFormat="1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</row>
    <row r="480" spans="2:19" s="1" customFormat="1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</row>
    <row r="481" spans="2:19" s="1" customFormat="1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</row>
    <row r="482" spans="2:19" s="1" customFormat="1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</row>
    <row r="483" spans="2:19" s="1" customFormat="1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</row>
    <row r="484" spans="2:19" s="1" customFormat="1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</row>
    <row r="485" spans="2:19" s="1" customFormat="1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</row>
    <row r="486" spans="2:19" s="1" customFormat="1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</row>
    <row r="487" spans="2:19" s="1" customFormat="1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</row>
    <row r="488" spans="2:19" s="1" customFormat="1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</row>
    <row r="489" spans="2:19" s="1" customFormat="1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</row>
    <row r="490" spans="2:19" s="1" customFormat="1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</row>
    <row r="491" spans="2:19" s="1" customFormat="1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</row>
    <row r="492" spans="2:19" s="1" customFormat="1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</row>
    <row r="493" spans="2:19" s="1" customFormat="1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</row>
    <row r="494" spans="2:19" s="1" customFormat="1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</row>
    <row r="495" spans="2:19" s="1" customFormat="1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</row>
    <row r="496" spans="2:19" s="1" customFormat="1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</row>
    <row r="497" spans="2:19" s="1" customFormat="1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</row>
    <row r="498" spans="2:19" s="1" customFormat="1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</row>
    <row r="499" spans="2:19" s="1" customFormat="1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</row>
    <row r="500" spans="2:19" s="1" customFormat="1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</row>
    <row r="501" spans="2:19" s="1" customFormat="1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</row>
    <row r="502" spans="2:19" s="1" customFormat="1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</row>
    <row r="503" spans="2:19" s="1" customFormat="1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</row>
    <row r="504" spans="2:19" s="1" customFormat="1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</row>
    <row r="505" spans="2:19" s="1" customFormat="1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</row>
    <row r="506" spans="2:19" s="1" customFormat="1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</row>
  </sheetData>
  <sheetProtection algorithmName="SHA-512" hashValue="OD5RkWm86Cd5JVG6PirRnW5uHHkEGUuj+cN9lwJWCKelTCsMFu51h4mviLGT+LelxKGHQ+cln9e7xPSaUVTR0g==" saltValue="nzEiA0zF0EJfPJ5mrJe2Hw==" spinCount="100000" sheet="1" scenarios="1"/>
  <mergeCells count="3">
    <mergeCell ref="B6:Q6"/>
    <mergeCell ref="B17:Q17"/>
    <mergeCell ref="B28:Q28"/>
  </mergeCells>
  <conditionalFormatting sqref="C29:C33">
    <cfRule type="cellIs" dxfId="11" priority="10" operator="equal">
      <formula>"SYDEREP"</formula>
    </cfRule>
    <cfRule type="cellIs" dxfId="10" priority="11" operator="equal">
      <formula>"Calcul"</formula>
    </cfRule>
    <cfRule type="cellIs" dxfId="9" priority="12" operator="equal">
      <formula>"EO"</formula>
    </cfRule>
  </conditionalFormatting>
  <conditionalFormatting sqref="C18:C23">
    <cfRule type="cellIs" dxfId="8" priority="7" operator="equal">
      <formula>"SYDEREP"</formula>
    </cfRule>
    <cfRule type="cellIs" dxfId="7" priority="8" operator="equal">
      <formula>"Calcul"</formula>
    </cfRule>
    <cfRule type="cellIs" dxfId="6" priority="9" operator="equal">
      <formula>"EO"</formula>
    </cfRule>
  </conditionalFormatting>
  <conditionalFormatting sqref="C24">
    <cfRule type="cellIs" dxfId="5" priority="4" operator="equal">
      <formula>"SYDEREP"</formula>
    </cfRule>
    <cfRule type="cellIs" dxfId="4" priority="5" operator="equal">
      <formula>"Calcul"</formula>
    </cfRule>
    <cfRule type="cellIs" dxfId="3" priority="6" operator="equal">
      <formula>"EO"</formula>
    </cfRule>
  </conditionalFormatting>
  <conditionalFormatting sqref="C7:C13">
    <cfRule type="cellIs" dxfId="2" priority="1" operator="equal">
      <formula>"SYDEREP"</formula>
    </cfRule>
    <cfRule type="cellIs" dxfId="1" priority="2" operator="equal">
      <formula>"Calcul"</formula>
    </cfRule>
    <cfRule type="cellIs" dxfId="0" priority="3" operator="equal">
      <formula>"EO"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2:U169"/>
  <sheetViews>
    <sheetView zoomScale="70" zoomScaleNormal="70" zoomScaleSheetLayoutView="80" workbookViewId="0">
      <pane xSplit="2" topLeftCell="I1" activePane="topRight" state="frozen"/>
      <selection activeCell="P103" sqref="A100:P103"/>
      <selection pane="topRight"/>
    </sheetView>
  </sheetViews>
  <sheetFormatPr baseColWidth="10" defaultColWidth="11.453125" defaultRowHeight="14.5"/>
  <cols>
    <col min="1" max="1" width="6.453125" style="2" customWidth="1"/>
    <col min="2" max="2" width="72.54296875" style="36" customWidth="1"/>
    <col min="3" max="3" width="13.54296875" style="36" bestFit="1" customWidth="1"/>
    <col min="4" max="4" width="9.54296875" style="36" customWidth="1"/>
    <col min="5" max="17" width="11.54296875" style="36" customWidth="1"/>
    <col min="18" max="18" width="10.54296875" style="36" customWidth="1"/>
    <col min="19" max="19" width="11.453125" style="36"/>
    <col min="20" max="16384" width="11.453125" style="2"/>
  </cols>
  <sheetData>
    <row r="2" spans="2:18" ht="23">
      <c r="B2" s="37" t="s">
        <v>168</v>
      </c>
      <c r="C2" s="37"/>
    </row>
    <row r="3" spans="2:18" ht="17.5">
      <c r="B3" s="308"/>
      <c r="C3" s="308"/>
      <c r="D3" s="308"/>
      <c r="E3" s="308"/>
      <c r="F3" s="308"/>
      <c r="G3" s="83"/>
    </row>
    <row r="4" spans="2:18" ht="15" thickBot="1">
      <c r="B4" s="167"/>
      <c r="C4" s="167"/>
      <c r="Q4" s="178"/>
    </row>
    <row r="5" spans="2:18" ht="18">
      <c r="B5" s="309" t="s">
        <v>7</v>
      </c>
      <c r="C5" s="39" t="s">
        <v>140</v>
      </c>
      <c r="D5" s="39" t="s">
        <v>0</v>
      </c>
      <c r="E5" s="310">
        <v>2009</v>
      </c>
      <c r="F5" s="310">
        <v>2010</v>
      </c>
      <c r="G5" s="310">
        <v>2011</v>
      </c>
      <c r="H5" s="310">
        <v>2012</v>
      </c>
      <c r="I5" s="310">
        <v>2013</v>
      </c>
      <c r="J5" s="310">
        <v>2014</v>
      </c>
      <c r="K5" s="310">
        <v>2015</v>
      </c>
      <c r="L5" s="310">
        <v>2016</v>
      </c>
      <c r="M5" s="310">
        <v>2017</v>
      </c>
      <c r="N5" s="310">
        <v>2018</v>
      </c>
      <c r="O5" s="310">
        <v>2019</v>
      </c>
      <c r="P5" s="311">
        <v>2020</v>
      </c>
      <c r="Q5" s="312">
        <v>2021</v>
      </c>
    </row>
    <row r="6" spans="2:18">
      <c r="B6" s="313" t="s">
        <v>6</v>
      </c>
      <c r="C6" s="314"/>
      <c r="D6" s="85"/>
      <c r="E6" s="315">
        <v>2010</v>
      </c>
      <c r="F6" s="315">
        <v>2011</v>
      </c>
      <c r="G6" s="315">
        <v>2012</v>
      </c>
      <c r="H6" s="315">
        <v>2013</v>
      </c>
      <c r="I6" s="315">
        <v>2014</v>
      </c>
      <c r="J6" s="315">
        <v>2015</v>
      </c>
      <c r="K6" s="315">
        <v>2016</v>
      </c>
      <c r="L6" s="315">
        <v>2017</v>
      </c>
      <c r="M6" s="315">
        <v>2018</v>
      </c>
      <c r="N6" s="315">
        <v>2019</v>
      </c>
      <c r="O6" s="315">
        <v>2020</v>
      </c>
      <c r="P6" s="316">
        <v>2021</v>
      </c>
      <c r="Q6" s="317">
        <v>2022</v>
      </c>
    </row>
    <row r="7" spans="2:18" ht="30.65" customHeight="1">
      <c r="B7" s="608" t="s">
        <v>30</v>
      </c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10"/>
      <c r="Q7" s="611"/>
    </row>
    <row r="8" spans="2:18">
      <c r="B8" s="318" t="s">
        <v>480</v>
      </c>
      <c r="C8" s="319" t="s">
        <v>289</v>
      </c>
      <c r="D8" s="158" t="s">
        <v>1</v>
      </c>
      <c r="E8" s="320">
        <v>22374</v>
      </c>
      <c r="F8" s="321">
        <v>22271</v>
      </c>
      <c r="G8" s="321">
        <v>22240</v>
      </c>
      <c r="H8" s="321">
        <v>23038</v>
      </c>
      <c r="I8" s="321">
        <v>21687</v>
      </c>
      <c r="J8" s="321">
        <v>21807</v>
      </c>
      <c r="K8" s="321">
        <v>22185</v>
      </c>
      <c r="L8" s="321">
        <v>22366</v>
      </c>
      <c r="M8" s="321">
        <v>22741</v>
      </c>
      <c r="N8" s="321">
        <v>20559</v>
      </c>
      <c r="O8" s="321">
        <v>20844</v>
      </c>
      <c r="P8" s="322">
        <v>21116</v>
      </c>
      <c r="Q8" s="501">
        <v>23209</v>
      </c>
      <c r="R8" s="178"/>
    </row>
    <row r="9" spans="2:18" ht="15" thickBot="1">
      <c r="B9" s="323" t="s">
        <v>481</v>
      </c>
      <c r="C9" s="324" t="s">
        <v>289</v>
      </c>
      <c r="D9" s="77" t="s">
        <v>1</v>
      </c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71">
        <v>89</v>
      </c>
      <c r="Q9" s="502">
        <v>853</v>
      </c>
      <c r="R9" s="178"/>
    </row>
    <row r="11" spans="2:18" ht="15" thickBot="1"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</row>
    <row r="12" spans="2:18" ht="18">
      <c r="B12" s="309" t="s">
        <v>7</v>
      </c>
      <c r="C12" s="325"/>
      <c r="D12" s="39" t="s">
        <v>0</v>
      </c>
      <c r="E12" s="310">
        <v>2009</v>
      </c>
      <c r="F12" s="310">
        <v>2010</v>
      </c>
      <c r="G12" s="310">
        <v>2011</v>
      </c>
      <c r="H12" s="310">
        <v>2012</v>
      </c>
      <c r="I12" s="310">
        <v>2013</v>
      </c>
      <c r="J12" s="310">
        <v>2014</v>
      </c>
      <c r="K12" s="310">
        <v>2015</v>
      </c>
      <c r="L12" s="310">
        <v>2016</v>
      </c>
      <c r="M12" s="310">
        <v>2017</v>
      </c>
      <c r="N12" s="310">
        <v>2018</v>
      </c>
      <c r="O12" s="310">
        <v>2019</v>
      </c>
      <c r="P12" s="311">
        <v>2020</v>
      </c>
      <c r="Q12" s="312">
        <v>2021</v>
      </c>
    </row>
    <row r="13" spans="2:18">
      <c r="B13" s="313" t="s">
        <v>6</v>
      </c>
      <c r="C13" s="326"/>
      <c r="D13" s="43"/>
      <c r="E13" s="327">
        <v>2010</v>
      </c>
      <c r="F13" s="327">
        <v>2011</v>
      </c>
      <c r="G13" s="327">
        <v>2012</v>
      </c>
      <c r="H13" s="327">
        <v>2013</v>
      </c>
      <c r="I13" s="327">
        <v>2014</v>
      </c>
      <c r="J13" s="327">
        <v>2015</v>
      </c>
      <c r="K13" s="327">
        <v>2016</v>
      </c>
      <c r="L13" s="327">
        <v>2017</v>
      </c>
      <c r="M13" s="327">
        <v>2018</v>
      </c>
      <c r="N13" s="327">
        <v>2019</v>
      </c>
      <c r="O13" s="315">
        <v>2020</v>
      </c>
      <c r="P13" s="316">
        <v>2021</v>
      </c>
      <c r="Q13" s="317">
        <v>2022</v>
      </c>
    </row>
    <row r="14" spans="2:18" ht="30.65" customHeight="1">
      <c r="B14" s="608" t="s">
        <v>21</v>
      </c>
      <c r="C14" s="609"/>
      <c r="D14" s="609"/>
      <c r="E14" s="609"/>
      <c r="F14" s="609"/>
      <c r="G14" s="609"/>
      <c r="H14" s="609"/>
      <c r="I14" s="609"/>
      <c r="J14" s="609"/>
      <c r="K14" s="609"/>
      <c r="L14" s="609"/>
      <c r="M14" s="609"/>
      <c r="N14" s="609"/>
      <c r="O14" s="609"/>
      <c r="P14" s="610"/>
      <c r="Q14" s="611"/>
    </row>
    <row r="15" spans="2:18">
      <c r="B15" s="328" t="s">
        <v>72</v>
      </c>
      <c r="C15" s="329" t="s">
        <v>123</v>
      </c>
      <c r="D15" s="43" t="s">
        <v>11</v>
      </c>
      <c r="E15" s="92">
        <f>E37+E59</f>
        <v>4691.283535429151</v>
      </c>
      <c r="F15" s="92">
        <f t="shared" ref="F15:Q15" si="0">F37+F59</f>
        <v>4659.2419219575104</v>
      </c>
      <c r="G15" s="92">
        <f t="shared" si="0"/>
        <v>4728.2330012550974</v>
      </c>
      <c r="H15" s="92">
        <f t="shared" si="0"/>
        <v>4800.7528477572605</v>
      </c>
      <c r="I15" s="92">
        <f t="shared" si="0"/>
        <v>4726.7469119171128</v>
      </c>
      <c r="J15" s="92">
        <f t="shared" si="0"/>
        <v>4817.2594680563116</v>
      </c>
      <c r="K15" s="92">
        <f t="shared" si="0"/>
        <v>4884.8305536320886</v>
      </c>
      <c r="L15" s="92">
        <f t="shared" si="0"/>
        <v>4961.3248046754225</v>
      </c>
      <c r="M15" s="92">
        <f t="shared" si="0"/>
        <v>5058.8739352370712</v>
      </c>
      <c r="N15" s="92">
        <f t="shared" si="0"/>
        <v>5189.7564648279595</v>
      </c>
      <c r="O15" s="92">
        <f t="shared" si="0"/>
        <v>5250.0167819999997</v>
      </c>
      <c r="P15" s="395">
        <f t="shared" si="0"/>
        <v>5271.4037369999996</v>
      </c>
      <c r="Q15" s="93">
        <f t="shared" si="0"/>
        <v>5271.9916990000011</v>
      </c>
      <c r="R15" s="178"/>
    </row>
    <row r="16" spans="2:18" ht="17.5">
      <c r="B16" s="331" t="s">
        <v>14</v>
      </c>
      <c r="C16" s="329" t="s">
        <v>141</v>
      </c>
      <c r="D16" s="43" t="s">
        <v>11</v>
      </c>
      <c r="E16" s="96">
        <f t="shared" ref="E16:Q16" si="1">E38+E60</f>
        <v>285.41244100160901</v>
      </c>
      <c r="F16" s="96">
        <f t="shared" si="1"/>
        <v>281.13583722377803</v>
      </c>
      <c r="G16" s="96">
        <f t="shared" si="1"/>
        <v>286.95983995466906</v>
      </c>
      <c r="H16" s="96">
        <f t="shared" si="1"/>
        <v>313.67513580303796</v>
      </c>
      <c r="I16" s="96">
        <f t="shared" si="1"/>
        <v>299.43525774536175</v>
      </c>
      <c r="J16" s="96">
        <f t="shared" si="1"/>
        <v>278.77891526357462</v>
      </c>
      <c r="K16" s="96">
        <f t="shared" si="1"/>
        <v>274.02595785750776</v>
      </c>
      <c r="L16" s="96">
        <f t="shared" si="1"/>
        <v>254.39222331007218</v>
      </c>
      <c r="M16" s="96">
        <f t="shared" si="1"/>
        <v>252.42663279992021</v>
      </c>
      <c r="N16" s="96">
        <f t="shared" si="1"/>
        <v>255.25091234674801</v>
      </c>
      <c r="O16" s="332">
        <f t="shared" si="1"/>
        <v>256.72750100000002</v>
      </c>
      <c r="P16" s="332">
        <f>P38+P60</f>
        <v>268.1216179999999</v>
      </c>
      <c r="Q16" s="97">
        <f t="shared" si="1"/>
        <v>254.60954799999996</v>
      </c>
      <c r="R16" s="178"/>
    </row>
    <row r="17" spans="2:18" ht="17.5">
      <c r="B17" s="331" t="s">
        <v>15</v>
      </c>
      <c r="C17" s="329" t="s">
        <v>141</v>
      </c>
      <c r="D17" s="43" t="s">
        <v>11</v>
      </c>
      <c r="E17" s="96">
        <f t="shared" ref="E17:Q17" si="2">E39+E61</f>
        <v>57.634636197741102</v>
      </c>
      <c r="F17" s="96">
        <f t="shared" si="2"/>
        <v>59.8122905522183</v>
      </c>
      <c r="G17" s="96">
        <f t="shared" si="2"/>
        <v>67.254904584578938</v>
      </c>
      <c r="H17" s="96">
        <f t="shared" si="2"/>
        <v>66.994146344423797</v>
      </c>
      <c r="I17" s="96">
        <f t="shared" si="2"/>
        <v>66.107699610403856</v>
      </c>
      <c r="J17" s="96">
        <f t="shared" si="2"/>
        <v>67.146221772580944</v>
      </c>
      <c r="K17" s="96">
        <f t="shared" si="2"/>
        <v>71.987320641933039</v>
      </c>
      <c r="L17" s="96">
        <f t="shared" si="2"/>
        <v>78.682139138768903</v>
      </c>
      <c r="M17" s="96">
        <f t="shared" si="2"/>
        <v>84.227244590057254</v>
      </c>
      <c r="N17" s="96">
        <f t="shared" si="2"/>
        <v>84.924120657783803</v>
      </c>
      <c r="O17" s="96">
        <f t="shared" si="2"/>
        <v>87.523075000000006</v>
      </c>
      <c r="P17" s="332">
        <f>P39+P61</f>
        <v>84.993172999999956</v>
      </c>
      <c r="Q17" s="97">
        <f t="shared" si="2"/>
        <v>84.528240999999952</v>
      </c>
      <c r="R17" s="178"/>
    </row>
    <row r="18" spans="2:18" ht="17.5">
      <c r="B18" s="331" t="s">
        <v>16</v>
      </c>
      <c r="C18" s="329" t="s">
        <v>123</v>
      </c>
      <c r="D18" s="43" t="s">
        <v>11</v>
      </c>
      <c r="E18" s="92">
        <f t="shared" ref="E18:Q18" si="3">E40+E62</f>
        <v>903.75209910993601</v>
      </c>
      <c r="F18" s="92">
        <f t="shared" si="3"/>
        <v>921.27938728234665</v>
      </c>
      <c r="G18" s="92">
        <f t="shared" si="3"/>
        <v>948.32392209140596</v>
      </c>
      <c r="H18" s="92">
        <f t="shared" si="3"/>
        <v>1017.3767245442259</v>
      </c>
      <c r="I18" s="92">
        <f t="shared" si="3"/>
        <v>1024.6331260001339</v>
      </c>
      <c r="J18" s="92">
        <f t="shared" si="3"/>
        <v>1047.4329692294398</v>
      </c>
      <c r="K18" s="92">
        <f t="shared" si="3"/>
        <v>1052.3337747917224</v>
      </c>
      <c r="L18" s="92">
        <f t="shared" si="3"/>
        <v>1091.8964201675351</v>
      </c>
      <c r="M18" s="92">
        <f t="shared" si="3"/>
        <v>1120.2177878160846</v>
      </c>
      <c r="N18" s="92">
        <f t="shared" si="3"/>
        <v>1136.6841911875383</v>
      </c>
      <c r="O18" s="92">
        <f t="shared" si="3"/>
        <v>1149.3596709999999</v>
      </c>
      <c r="P18" s="395">
        <f t="shared" si="3"/>
        <v>1168.2691379999999</v>
      </c>
      <c r="Q18" s="93">
        <f t="shared" si="3"/>
        <v>1157.8295030000002</v>
      </c>
      <c r="R18" s="178"/>
    </row>
    <row r="19" spans="2:18" ht="17.5">
      <c r="B19" s="331" t="s">
        <v>70</v>
      </c>
      <c r="C19" s="329" t="s">
        <v>141</v>
      </c>
      <c r="D19" s="43" t="s">
        <v>11</v>
      </c>
      <c r="E19" s="96">
        <f t="shared" ref="E19:Q19" si="4">E41+E63</f>
        <v>91</v>
      </c>
      <c r="F19" s="96">
        <f t="shared" si="4"/>
        <v>90.483223289680595</v>
      </c>
      <c r="G19" s="96">
        <f t="shared" si="4"/>
        <v>87.895199596779165</v>
      </c>
      <c r="H19" s="96">
        <f t="shared" si="4"/>
        <v>89.639509356145766</v>
      </c>
      <c r="I19" s="96">
        <f t="shared" si="4"/>
        <v>87.120565045498438</v>
      </c>
      <c r="J19" s="96">
        <f t="shared" si="4"/>
        <v>85.976497622104091</v>
      </c>
      <c r="K19" s="96">
        <f t="shared" si="4"/>
        <v>81.868647168161544</v>
      </c>
      <c r="L19" s="96">
        <f t="shared" si="4"/>
        <v>78.880411728501869</v>
      </c>
      <c r="M19" s="96">
        <f t="shared" si="4"/>
        <v>75.502446351498108</v>
      </c>
      <c r="N19" s="96">
        <f t="shared" si="4"/>
        <v>71.968170378998295</v>
      </c>
      <c r="O19" s="96">
        <f t="shared" si="4"/>
        <v>68.700779999999995</v>
      </c>
      <c r="P19" s="332">
        <f t="shared" ref="P19:P30" si="5">P41+P63</f>
        <v>72.694645999999992</v>
      </c>
      <c r="Q19" s="97">
        <f t="shared" si="4"/>
        <v>69.776885000000007</v>
      </c>
      <c r="R19" s="178"/>
    </row>
    <row r="20" spans="2:18" ht="17.5">
      <c r="B20" s="331" t="s">
        <v>71</v>
      </c>
      <c r="C20" s="329" t="s">
        <v>141</v>
      </c>
      <c r="D20" s="43" t="s">
        <v>11</v>
      </c>
      <c r="E20" s="96">
        <f t="shared" ref="E20:Q20" si="6">E42+E64</f>
        <v>812.75209910993601</v>
      </c>
      <c r="F20" s="96">
        <f t="shared" si="6"/>
        <v>830.79616399266604</v>
      </c>
      <c r="G20" s="96">
        <f t="shared" si="6"/>
        <v>860.42872249462675</v>
      </c>
      <c r="H20" s="96">
        <f t="shared" si="6"/>
        <v>927.7372151880802</v>
      </c>
      <c r="I20" s="96">
        <f t="shared" si="6"/>
        <v>937.51256095463532</v>
      </c>
      <c r="J20" s="96">
        <f t="shared" si="6"/>
        <v>961.45647160733574</v>
      </c>
      <c r="K20" s="96">
        <f t="shared" si="6"/>
        <v>970.46512762356076</v>
      </c>
      <c r="L20" s="96">
        <f t="shared" si="6"/>
        <v>1013.0160084390333</v>
      </c>
      <c r="M20" s="96">
        <f t="shared" si="6"/>
        <v>1044.7153414645866</v>
      </c>
      <c r="N20" s="96">
        <f t="shared" si="6"/>
        <v>1064.71602080854</v>
      </c>
      <c r="O20" s="96">
        <f t="shared" si="6"/>
        <v>1080.658891</v>
      </c>
      <c r="P20" s="332">
        <f t="shared" si="5"/>
        <v>643.1680090000001</v>
      </c>
      <c r="Q20" s="97">
        <f t="shared" si="6"/>
        <v>594.44493999999997</v>
      </c>
      <c r="R20" s="178"/>
    </row>
    <row r="21" spans="2:18" ht="17.5">
      <c r="B21" s="331" t="s">
        <v>292</v>
      </c>
      <c r="C21" s="329" t="s">
        <v>141</v>
      </c>
      <c r="D21" s="43" t="s">
        <v>11</v>
      </c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2">
        <f t="shared" si="5"/>
        <v>452.40648299999975</v>
      </c>
      <c r="Q21" s="97">
        <f t="shared" ref="Q21" si="7">Q43+Q65</f>
        <v>493.60767800000031</v>
      </c>
      <c r="R21" s="178"/>
    </row>
    <row r="22" spans="2:18" ht="17.5">
      <c r="B22" s="331" t="s">
        <v>17</v>
      </c>
      <c r="C22" s="329" t="s">
        <v>123</v>
      </c>
      <c r="D22" s="43" t="s">
        <v>11</v>
      </c>
      <c r="E22" s="92">
        <f t="shared" ref="E22:Q22" si="8">E44+E66</f>
        <v>1031.837298224789</v>
      </c>
      <c r="F22" s="92">
        <f t="shared" si="8"/>
        <v>1060.7585587498932</v>
      </c>
      <c r="G22" s="92">
        <f t="shared" si="8"/>
        <v>1066.4541444084578</v>
      </c>
      <c r="H22" s="92">
        <f t="shared" si="8"/>
        <v>1080.5776774125461</v>
      </c>
      <c r="I22" s="92">
        <f t="shared" si="8"/>
        <v>1088.6322801038104</v>
      </c>
      <c r="J22" s="92">
        <f t="shared" si="8"/>
        <v>1104.5364889099308</v>
      </c>
      <c r="K22" s="92">
        <f t="shared" si="8"/>
        <v>1125.0732427571127</v>
      </c>
      <c r="L22" s="92">
        <f t="shared" si="8"/>
        <v>1147.1218005760795</v>
      </c>
      <c r="M22" s="92">
        <f t="shared" si="8"/>
        <v>1170.1908711714614</v>
      </c>
      <c r="N22" s="92">
        <f t="shared" si="8"/>
        <v>1165.352623552508</v>
      </c>
      <c r="O22" s="92">
        <f t="shared" si="8"/>
        <v>1165.4659999999999</v>
      </c>
      <c r="P22" s="395">
        <f t="shared" si="5"/>
        <v>1184.0108599999996</v>
      </c>
      <c r="Q22" s="93">
        <f t="shared" si="8"/>
        <v>1187.1427020000001</v>
      </c>
      <c r="R22" s="178"/>
    </row>
    <row r="23" spans="2:18" ht="17.5">
      <c r="B23" s="331" t="s">
        <v>124</v>
      </c>
      <c r="C23" s="329" t="s">
        <v>123</v>
      </c>
      <c r="D23" s="43" t="s">
        <v>11</v>
      </c>
      <c r="E23" s="96">
        <f t="shared" ref="E23:Q23" si="9">E45+E67</f>
        <v>567.51051402363407</v>
      </c>
      <c r="F23" s="96">
        <f t="shared" si="9"/>
        <v>510.40567088943499</v>
      </c>
      <c r="G23" s="96">
        <f t="shared" si="9"/>
        <v>512.81847390867392</v>
      </c>
      <c r="H23" s="96">
        <f t="shared" si="9"/>
        <v>454.34234195345778</v>
      </c>
      <c r="I23" s="96">
        <f t="shared" si="9"/>
        <v>454.61471445981994</v>
      </c>
      <c r="J23" s="96">
        <f t="shared" si="9"/>
        <v>462.68271555626308</v>
      </c>
      <c r="K23" s="96">
        <f t="shared" si="9"/>
        <v>475.58693820610898</v>
      </c>
      <c r="L23" s="96">
        <f t="shared" si="9"/>
        <v>479.6648671010729</v>
      </c>
      <c r="M23" s="96">
        <f t="shared" si="9"/>
        <v>490.40915048363433</v>
      </c>
      <c r="N23" s="96">
        <f t="shared" si="9"/>
        <v>488.38151468242</v>
      </c>
      <c r="O23" s="96">
        <f t="shared" si="9"/>
        <v>498.83699999999999</v>
      </c>
      <c r="P23" s="395">
        <f t="shared" si="5"/>
        <v>487.65657099999999</v>
      </c>
      <c r="Q23" s="93">
        <f t="shared" si="9"/>
        <v>480.17669999999993</v>
      </c>
      <c r="R23" s="178"/>
    </row>
    <row r="24" spans="2:18" ht="17.5">
      <c r="B24" s="331" t="s">
        <v>294</v>
      </c>
      <c r="C24" s="329" t="s">
        <v>141</v>
      </c>
      <c r="D24" s="43" t="s">
        <v>11</v>
      </c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2">
        <f t="shared" si="5"/>
        <v>310.17712</v>
      </c>
      <c r="Q24" s="97">
        <f t="shared" ref="Q24" si="10">Q46+Q68</f>
        <v>305.67074099999996</v>
      </c>
      <c r="R24" s="178"/>
    </row>
    <row r="25" spans="2:18" ht="17.5">
      <c r="B25" s="331" t="s">
        <v>293</v>
      </c>
      <c r="C25" s="329" t="s">
        <v>141</v>
      </c>
      <c r="D25" s="43" t="s">
        <v>11</v>
      </c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2">
        <f t="shared" si="5"/>
        <v>177.47945099999998</v>
      </c>
      <c r="Q25" s="97">
        <f t="shared" ref="Q25" si="11">Q47+Q69</f>
        <v>174.50595899999996</v>
      </c>
      <c r="R25" s="178"/>
    </row>
    <row r="26" spans="2:18" ht="17.5">
      <c r="B26" s="331" t="s">
        <v>125</v>
      </c>
      <c r="C26" s="329" t="s">
        <v>123</v>
      </c>
      <c r="D26" s="43" t="s">
        <v>11</v>
      </c>
      <c r="E26" s="96">
        <f t="shared" ref="E26:Q26" si="12">E48+E70</f>
        <v>464.32678420115502</v>
      </c>
      <c r="F26" s="96">
        <f t="shared" si="12"/>
        <v>550.35288786045817</v>
      </c>
      <c r="G26" s="96">
        <f t="shared" si="12"/>
        <v>553.63567049978383</v>
      </c>
      <c r="H26" s="96">
        <f t="shared" si="12"/>
        <v>626.23533545908845</v>
      </c>
      <c r="I26" s="96">
        <f t="shared" si="12"/>
        <v>634.01756564399057</v>
      </c>
      <c r="J26" s="96">
        <f t="shared" si="12"/>
        <v>641.85377335366763</v>
      </c>
      <c r="K26" s="96">
        <f t="shared" si="12"/>
        <v>649.48630455100363</v>
      </c>
      <c r="L26" s="96">
        <f t="shared" si="12"/>
        <v>667.45693347500662</v>
      </c>
      <c r="M26" s="96">
        <f t="shared" si="12"/>
        <v>679.78172068782692</v>
      </c>
      <c r="N26" s="96">
        <f t="shared" si="12"/>
        <v>676.97110887008796</v>
      </c>
      <c r="O26" s="96">
        <f t="shared" si="12"/>
        <v>666.62900000000002</v>
      </c>
      <c r="P26" s="395">
        <f t="shared" si="5"/>
        <v>696.35428899999988</v>
      </c>
      <c r="Q26" s="93">
        <f t="shared" si="12"/>
        <v>706.96600200000012</v>
      </c>
      <c r="R26" s="178"/>
    </row>
    <row r="27" spans="2:18" ht="17.5">
      <c r="B27" s="331" t="s">
        <v>296</v>
      </c>
      <c r="C27" s="329" t="s">
        <v>141</v>
      </c>
      <c r="D27" s="43" t="s">
        <v>11</v>
      </c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2">
        <f t="shared" si="5"/>
        <v>225.49562400000011</v>
      </c>
      <c r="Q27" s="97">
        <f t="shared" ref="Q27" si="13">Q49+Q71</f>
        <v>225.76338599999997</v>
      </c>
      <c r="R27" s="178"/>
    </row>
    <row r="28" spans="2:18" ht="17.5">
      <c r="B28" s="331" t="s">
        <v>295</v>
      </c>
      <c r="C28" s="329" t="s">
        <v>141</v>
      </c>
      <c r="D28" s="43" t="s">
        <v>11</v>
      </c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2">
        <f t="shared" si="5"/>
        <v>123.95525899999997</v>
      </c>
      <c r="Q28" s="97">
        <f t="shared" ref="Q28" si="14">Q50+Q72</f>
        <v>131.68967599999999</v>
      </c>
      <c r="R28" s="178"/>
    </row>
    <row r="29" spans="2:18" ht="17.5">
      <c r="B29" s="331" t="s">
        <v>297</v>
      </c>
      <c r="C29" s="329" t="s">
        <v>141</v>
      </c>
      <c r="D29" s="43" t="s">
        <v>11</v>
      </c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2">
        <f t="shared" si="5"/>
        <v>86.56455099999998</v>
      </c>
      <c r="Q29" s="97">
        <f t="shared" ref="Q29" si="15">Q51+Q73</f>
        <v>88.316205000000011</v>
      </c>
      <c r="R29" s="178"/>
    </row>
    <row r="30" spans="2:18" ht="17.5">
      <c r="B30" s="331" t="s">
        <v>298</v>
      </c>
      <c r="C30" s="329" t="s">
        <v>141</v>
      </c>
      <c r="D30" s="43" t="s">
        <v>11</v>
      </c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2">
        <f t="shared" si="5"/>
        <v>237.47406899999987</v>
      </c>
      <c r="Q30" s="97">
        <f t="shared" ref="Q30" si="16">Q52+Q74</f>
        <v>237.01636800000009</v>
      </c>
      <c r="R30" s="178"/>
    </row>
    <row r="31" spans="2:18" ht="17.5">
      <c r="B31" s="331" t="s">
        <v>299</v>
      </c>
      <c r="C31" s="329" t="s">
        <v>141</v>
      </c>
      <c r="D31" s="43" t="s">
        <v>11</v>
      </c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2">
        <f t="shared" ref="P31:Q31" si="17">P53+P75</f>
        <v>22.864785999999999</v>
      </c>
      <c r="Q31" s="97">
        <f t="shared" si="17"/>
        <v>24.180367000000004</v>
      </c>
      <c r="R31" s="178"/>
    </row>
    <row r="32" spans="2:18" ht="17.5">
      <c r="B32" s="331" t="s">
        <v>18</v>
      </c>
      <c r="C32" s="329" t="s">
        <v>141</v>
      </c>
      <c r="D32" s="43" t="s">
        <v>11</v>
      </c>
      <c r="E32" s="96">
        <f t="shared" ref="E32:Q32" si="18">E54+E76</f>
        <v>2393.8319206143901</v>
      </c>
      <c r="F32" s="96">
        <f t="shared" si="18"/>
        <v>2318.6986288797998</v>
      </c>
      <c r="G32" s="96">
        <f t="shared" si="18"/>
        <v>2340.9139449149948</v>
      </c>
      <c r="H32" s="96">
        <f t="shared" si="18"/>
        <v>2296.0544799055378</v>
      </c>
      <c r="I32" s="96">
        <f t="shared" si="18"/>
        <v>2217.8337300844505</v>
      </c>
      <c r="J32" s="96">
        <f t="shared" si="18"/>
        <v>2288.7691369610029</v>
      </c>
      <c r="K32" s="96">
        <f t="shared" si="18"/>
        <v>2329.8879461014176</v>
      </c>
      <c r="L32" s="96">
        <f t="shared" si="18"/>
        <v>2357.8613443086124</v>
      </c>
      <c r="M32" s="96">
        <f t="shared" si="18"/>
        <v>2401.4732655922621</v>
      </c>
      <c r="N32" s="96">
        <f t="shared" si="18"/>
        <v>2515.8263037172901</v>
      </c>
      <c r="O32" s="96">
        <f t="shared" si="18"/>
        <v>2558.8562149999998</v>
      </c>
      <c r="P32" s="332">
        <f>P54+P76</f>
        <v>2538.3372820000004</v>
      </c>
      <c r="Q32" s="97">
        <f t="shared" si="18"/>
        <v>2560.1048920000007</v>
      </c>
      <c r="R32" s="178"/>
    </row>
    <row r="33" spans="2:18" ht="17.5">
      <c r="B33" s="333" t="s">
        <v>19</v>
      </c>
      <c r="C33" s="329" t="s">
        <v>123</v>
      </c>
      <c r="D33" s="158" t="s">
        <v>11</v>
      </c>
      <c r="E33" s="96">
        <f t="shared" ref="E33:Q33" si="19">E55+E77</f>
        <v>18.815140280685501</v>
      </c>
      <c r="F33" s="96">
        <f t="shared" si="19"/>
        <v>17.557219269474</v>
      </c>
      <c r="G33" s="96">
        <f t="shared" si="19"/>
        <v>18.326245300989946</v>
      </c>
      <c r="H33" s="96">
        <f t="shared" si="19"/>
        <v>26.074683747489093</v>
      </c>
      <c r="I33" s="96">
        <f t="shared" si="19"/>
        <v>30.104818372953062</v>
      </c>
      <c r="J33" s="96">
        <f t="shared" si="19"/>
        <v>30.59573591978317</v>
      </c>
      <c r="K33" s="96">
        <f t="shared" si="19"/>
        <v>31.522311482395331</v>
      </c>
      <c r="L33" s="96">
        <f t="shared" si="19"/>
        <v>31.370877174354064</v>
      </c>
      <c r="M33" s="96">
        <f t="shared" si="19"/>
        <v>30.338133267285777</v>
      </c>
      <c r="N33" s="320">
        <f t="shared" si="19"/>
        <v>31.718313366091301</v>
      </c>
      <c r="O33" s="96">
        <f t="shared" si="19"/>
        <v>32.084319999999998</v>
      </c>
      <c r="P33" s="395">
        <f t="shared" si="19"/>
        <v>27.671666000000002</v>
      </c>
      <c r="Q33" s="93">
        <f t="shared" si="19"/>
        <v>27.776813000000001</v>
      </c>
      <c r="R33" s="178"/>
    </row>
    <row r="34" spans="2:18" ht="17.5">
      <c r="B34" s="331" t="s">
        <v>391</v>
      </c>
      <c r="C34" s="329" t="s">
        <v>141</v>
      </c>
      <c r="D34" s="158" t="s">
        <v>11</v>
      </c>
      <c r="E34" s="330"/>
      <c r="F34" s="330"/>
      <c r="G34" s="330"/>
      <c r="H34" s="330"/>
      <c r="I34" s="330"/>
      <c r="J34" s="330"/>
      <c r="K34" s="330"/>
      <c r="L34" s="330"/>
      <c r="M34" s="330"/>
      <c r="N34" s="334"/>
      <c r="O34" s="330"/>
      <c r="P34" s="612">
        <f>P56+P78</f>
        <v>25.156648000000001</v>
      </c>
      <c r="Q34" s="97">
        <f>Q56+Q78</f>
        <v>18.394411999999999</v>
      </c>
      <c r="R34" s="94"/>
    </row>
    <row r="35" spans="2:18" ht="17.5">
      <c r="B35" s="331" t="s">
        <v>390</v>
      </c>
      <c r="C35" s="329" t="s">
        <v>141</v>
      </c>
      <c r="D35" s="158" t="s">
        <v>11</v>
      </c>
      <c r="E35" s="330"/>
      <c r="F35" s="330"/>
      <c r="G35" s="330"/>
      <c r="H35" s="330"/>
      <c r="I35" s="330"/>
      <c r="J35" s="330"/>
      <c r="K35" s="330"/>
      <c r="L35" s="330"/>
      <c r="M35" s="330"/>
      <c r="N35" s="441"/>
      <c r="O35" s="330"/>
      <c r="P35" s="613"/>
      <c r="Q35" s="97">
        <f>Q57+Q79</f>
        <v>6.5098510000000003</v>
      </c>
      <c r="R35" s="94"/>
    </row>
    <row r="36" spans="2:18" ht="17.5">
      <c r="B36" s="331" t="s">
        <v>291</v>
      </c>
      <c r="C36" s="329" t="s">
        <v>141</v>
      </c>
      <c r="D36" s="158" t="s">
        <v>11</v>
      </c>
      <c r="E36" s="330"/>
      <c r="F36" s="330"/>
      <c r="G36" s="330"/>
      <c r="H36" s="330"/>
      <c r="I36" s="330"/>
      <c r="J36" s="330"/>
      <c r="K36" s="330"/>
      <c r="L36" s="330"/>
      <c r="M36" s="330"/>
      <c r="N36" s="334"/>
      <c r="O36" s="330"/>
      <c r="P36" s="332">
        <f>P58+P80</f>
        <v>2.5150180000000004</v>
      </c>
      <c r="Q36" s="97">
        <f t="shared" ref="Q36" si="20">Q58+Q80</f>
        <v>2.8725500000000013</v>
      </c>
      <c r="R36" s="94"/>
    </row>
    <row r="37" spans="2:18">
      <c r="B37" s="328" t="s">
        <v>350</v>
      </c>
      <c r="C37" s="329" t="s">
        <v>123</v>
      </c>
      <c r="D37" s="43" t="s">
        <v>11</v>
      </c>
      <c r="E37" s="395">
        <f t="shared" ref="E37:O37" si="21">E38+E39+E40+E44+E54+E55</f>
        <v>4691.283535429151</v>
      </c>
      <c r="F37" s="395">
        <f t="shared" si="21"/>
        <v>4659.2419219575104</v>
      </c>
      <c r="G37" s="395">
        <f t="shared" si="21"/>
        <v>4728.2330012550974</v>
      </c>
      <c r="H37" s="395">
        <f t="shared" si="21"/>
        <v>4800.7528477572605</v>
      </c>
      <c r="I37" s="395">
        <f t="shared" si="21"/>
        <v>4726.7469119171128</v>
      </c>
      <c r="J37" s="395">
        <f t="shared" si="21"/>
        <v>4817.2594680563116</v>
      </c>
      <c r="K37" s="395">
        <f t="shared" si="21"/>
        <v>4884.8305536320886</v>
      </c>
      <c r="L37" s="395">
        <f t="shared" si="21"/>
        <v>4961.3248046754225</v>
      </c>
      <c r="M37" s="395">
        <f t="shared" si="21"/>
        <v>5058.8739352370712</v>
      </c>
      <c r="N37" s="395">
        <f t="shared" si="21"/>
        <v>5189.7564648279595</v>
      </c>
      <c r="O37" s="395">
        <f t="shared" si="21"/>
        <v>5250.0167819999997</v>
      </c>
      <c r="P37" s="395">
        <f>P38+P39+P40+P44+P54+P55</f>
        <v>5268.2166829999996</v>
      </c>
      <c r="Q37" s="93">
        <f>Q38+Q39+Q40+Q44+Q54+Q55</f>
        <v>5263.0480430000007</v>
      </c>
      <c r="R37" s="178"/>
    </row>
    <row r="38" spans="2:18" ht="17.5" hidden="1">
      <c r="B38" s="331" t="s">
        <v>393</v>
      </c>
      <c r="C38" s="329" t="s">
        <v>141</v>
      </c>
      <c r="D38" s="43" t="s">
        <v>11</v>
      </c>
      <c r="E38" s="96">
        <v>285.41244100160901</v>
      </c>
      <c r="F38" s="96">
        <v>281.13583722377803</v>
      </c>
      <c r="G38" s="96">
        <v>286.95983995466906</v>
      </c>
      <c r="H38" s="96">
        <v>313.67513580303796</v>
      </c>
      <c r="I38" s="96">
        <v>299.43525774536175</v>
      </c>
      <c r="J38" s="96">
        <v>278.77891526357462</v>
      </c>
      <c r="K38" s="96">
        <v>274.02595785750776</v>
      </c>
      <c r="L38" s="96">
        <v>254.39222331007218</v>
      </c>
      <c r="M38" s="96">
        <v>252.42663279992021</v>
      </c>
      <c r="N38" s="96">
        <v>255.25091234674801</v>
      </c>
      <c r="O38" s="332">
        <v>256.72750100000002</v>
      </c>
      <c r="P38" s="332">
        <v>268.10861499999987</v>
      </c>
      <c r="Q38" s="97">
        <v>254.59567799999996</v>
      </c>
      <c r="R38" s="94"/>
    </row>
    <row r="39" spans="2:18" ht="17.5" hidden="1">
      <c r="B39" s="331" t="s">
        <v>394</v>
      </c>
      <c r="C39" s="329" t="s">
        <v>141</v>
      </c>
      <c r="D39" s="43" t="s">
        <v>11</v>
      </c>
      <c r="E39" s="96">
        <v>57.634636197741102</v>
      </c>
      <c r="F39" s="96">
        <v>59.8122905522183</v>
      </c>
      <c r="G39" s="96">
        <v>67.254904584578938</v>
      </c>
      <c r="H39" s="96">
        <v>66.994146344423797</v>
      </c>
      <c r="I39" s="96">
        <v>66.107699610403856</v>
      </c>
      <c r="J39" s="96">
        <v>67.146221772580944</v>
      </c>
      <c r="K39" s="96">
        <v>71.987320641933039</v>
      </c>
      <c r="L39" s="96">
        <v>78.682139138768903</v>
      </c>
      <c r="M39" s="96">
        <v>84.227244590057254</v>
      </c>
      <c r="N39" s="96">
        <v>84.924120657783803</v>
      </c>
      <c r="O39" s="96">
        <v>87.523075000000006</v>
      </c>
      <c r="P39" s="332">
        <v>84.99275899999995</v>
      </c>
      <c r="Q39" s="97">
        <v>84.420305999999954</v>
      </c>
      <c r="R39" s="94"/>
    </row>
    <row r="40" spans="2:18" ht="17.5" hidden="1">
      <c r="B40" s="331" t="s">
        <v>395</v>
      </c>
      <c r="C40" s="329" t="s">
        <v>123</v>
      </c>
      <c r="D40" s="43" t="s">
        <v>11</v>
      </c>
      <c r="E40" s="92">
        <f>E41+E42</f>
        <v>903.75209910993601</v>
      </c>
      <c r="F40" s="92">
        <f t="shared" ref="F40:O40" si="22">F41+F42</f>
        <v>921.27938728234665</v>
      </c>
      <c r="G40" s="92">
        <f t="shared" si="22"/>
        <v>948.32392209140596</v>
      </c>
      <c r="H40" s="92">
        <f t="shared" si="22"/>
        <v>1017.3767245442259</v>
      </c>
      <c r="I40" s="92">
        <f t="shared" si="22"/>
        <v>1024.6331260001339</v>
      </c>
      <c r="J40" s="92">
        <f t="shared" si="22"/>
        <v>1047.4329692294398</v>
      </c>
      <c r="K40" s="92">
        <f t="shared" si="22"/>
        <v>1052.3337747917224</v>
      </c>
      <c r="L40" s="92">
        <f t="shared" si="22"/>
        <v>1091.8964201675351</v>
      </c>
      <c r="M40" s="92">
        <f t="shared" si="22"/>
        <v>1120.2177878160846</v>
      </c>
      <c r="N40" s="92">
        <f t="shared" si="22"/>
        <v>1136.6841911875383</v>
      </c>
      <c r="O40" s="92">
        <f t="shared" si="22"/>
        <v>1149.3596709999999</v>
      </c>
      <c r="P40" s="395">
        <f>P41+P42+P43</f>
        <v>1165.4642739999999</v>
      </c>
      <c r="Q40" s="93">
        <f>Q41+Q42+Q43</f>
        <v>1152.4238850000002</v>
      </c>
      <c r="R40" s="94"/>
    </row>
    <row r="41" spans="2:18" ht="17.5" hidden="1">
      <c r="B41" s="331" t="s">
        <v>400</v>
      </c>
      <c r="C41" s="329" t="s">
        <v>141</v>
      </c>
      <c r="D41" s="43" t="s">
        <v>11</v>
      </c>
      <c r="E41" s="96">
        <v>91</v>
      </c>
      <c r="F41" s="96">
        <v>90.483223289680595</v>
      </c>
      <c r="G41" s="96">
        <v>87.895199596779165</v>
      </c>
      <c r="H41" s="96">
        <v>89.639509356145766</v>
      </c>
      <c r="I41" s="96">
        <v>87.120565045498438</v>
      </c>
      <c r="J41" s="96">
        <v>85.976497622104091</v>
      </c>
      <c r="K41" s="96">
        <v>81.868647168161544</v>
      </c>
      <c r="L41" s="96">
        <v>78.880411728501869</v>
      </c>
      <c r="M41" s="96">
        <v>75.502446351498108</v>
      </c>
      <c r="N41" s="96">
        <v>71.968170378998295</v>
      </c>
      <c r="O41" s="96">
        <v>68.700779999999995</v>
      </c>
      <c r="P41" s="332">
        <v>72.694645999999992</v>
      </c>
      <c r="Q41" s="97">
        <v>69.776885000000007</v>
      </c>
      <c r="R41" s="94"/>
    </row>
    <row r="42" spans="2:18" ht="17.5" hidden="1">
      <c r="B42" s="448" t="s">
        <v>401</v>
      </c>
      <c r="C42" s="329" t="s">
        <v>141</v>
      </c>
      <c r="D42" s="43" t="s">
        <v>11</v>
      </c>
      <c r="E42" s="96">
        <v>812.75209910993601</v>
      </c>
      <c r="F42" s="96">
        <v>830.79616399266604</v>
      </c>
      <c r="G42" s="96">
        <v>860.42872249462675</v>
      </c>
      <c r="H42" s="96">
        <v>927.7372151880802</v>
      </c>
      <c r="I42" s="96">
        <v>937.51256095463532</v>
      </c>
      <c r="J42" s="96">
        <v>961.45647160733574</v>
      </c>
      <c r="K42" s="96">
        <v>970.46512762356076</v>
      </c>
      <c r="L42" s="96">
        <v>1013.0160084390333</v>
      </c>
      <c r="M42" s="96">
        <v>1044.7153414645866</v>
      </c>
      <c r="N42" s="96">
        <v>1064.71602080854</v>
      </c>
      <c r="O42" s="96">
        <v>1080.658891</v>
      </c>
      <c r="P42" s="332">
        <v>640.3807260000001</v>
      </c>
      <c r="Q42" s="97">
        <v>590.45241099999998</v>
      </c>
      <c r="R42" s="94"/>
    </row>
    <row r="43" spans="2:18" ht="17.5" hidden="1">
      <c r="B43" s="448" t="s">
        <v>402</v>
      </c>
      <c r="C43" s="329" t="s">
        <v>141</v>
      </c>
      <c r="D43" s="43" t="s">
        <v>11</v>
      </c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2">
        <v>452.38890199999975</v>
      </c>
      <c r="Q43" s="97">
        <v>492.19458900000029</v>
      </c>
      <c r="R43" s="94"/>
    </row>
    <row r="44" spans="2:18" ht="17.5" hidden="1">
      <c r="B44" s="331" t="s">
        <v>396</v>
      </c>
      <c r="C44" s="329" t="s">
        <v>123</v>
      </c>
      <c r="D44" s="43" t="s">
        <v>11</v>
      </c>
      <c r="E44" s="92">
        <f>E45+E48</f>
        <v>1031.837298224789</v>
      </c>
      <c r="F44" s="92">
        <f t="shared" ref="F44:N44" si="23">F45+F48</f>
        <v>1060.7585587498932</v>
      </c>
      <c r="G44" s="92">
        <f t="shared" si="23"/>
        <v>1066.4541444084578</v>
      </c>
      <c r="H44" s="92">
        <f t="shared" si="23"/>
        <v>1080.5776774125461</v>
      </c>
      <c r="I44" s="92">
        <f t="shared" si="23"/>
        <v>1088.6322801038104</v>
      </c>
      <c r="J44" s="92">
        <f t="shared" si="23"/>
        <v>1104.5364889099308</v>
      </c>
      <c r="K44" s="92">
        <f t="shared" si="23"/>
        <v>1125.0732427571127</v>
      </c>
      <c r="L44" s="92">
        <f t="shared" si="23"/>
        <v>1147.1218005760795</v>
      </c>
      <c r="M44" s="92">
        <f t="shared" si="23"/>
        <v>1170.1908711714614</v>
      </c>
      <c r="N44" s="92">
        <f t="shared" si="23"/>
        <v>1165.352623552508</v>
      </c>
      <c r="O44" s="92">
        <f>O45+O48</f>
        <v>1165.4659999999999</v>
      </c>
      <c r="P44" s="395">
        <f>P45+P48</f>
        <v>1183.6501439999997</v>
      </c>
      <c r="Q44" s="93">
        <f>Q45+Q48</f>
        <v>1184.723698</v>
      </c>
      <c r="R44" s="94"/>
    </row>
    <row r="45" spans="2:18" ht="17.5" hidden="1">
      <c r="B45" s="331" t="s">
        <v>403</v>
      </c>
      <c r="C45" s="329" t="s">
        <v>123</v>
      </c>
      <c r="D45" s="43" t="s">
        <v>11</v>
      </c>
      <c r="E45" s="96">
        <v>567.51051402363407</v>
      </c>
      <c r="F45" s="96">
        <v>510.40567088943499</v>
      </c>
      <c r="G45" s="96">
        <v>512.81847390867392</v>
      </c>
      <c r="H45" s="96">
        <v>454.34234195345778</v>
      </c>
      <c r="I45" s="96">
        <v>454.61471445981994</v>
      </c>
      <c r="J45" s="96">
        <v>462.68271555626308</v>
      </c>
      <c r="K45" s="96">
        <v>475.58693820610898</v>
      </c>
      <c r="L45" s="96">
        <v>479.6648671010729</v>
      </c>
      <c r="M45" s="96">
        <v>490.40915048363433</v>
      </c>
      <c r="N45" s="96">
        <v>488.38151468242</v>
      </c>
      <c r="O45" s="96">
        <v>498.83699999999999</v>
      </c>
      <c r="P45" s="395">
        <f>P46+P47</f>
        <v>487.65283499999998</v>
      </c>
      <c r="Q45" s="93">
        <f>Q46+Q47</f>
        <v>479.68780699999991</v>
      </c>
      <c r="R45" s="94"/>
    </row>
    <row r="46" spans="2:18" ht="17.5" hidden="1">
      <c r="B46" s="331" t="s">
        <v>404</v>
      </c>
      <c r="C46" s="329" t="s">
        <v>141</v>
      </c>
      <c r="D46" s="43" t="s">
        <v>11</v>
      </c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2">
        <v>310.17344500000002</v>
      </c>
      <c r="Q46" s="97">
        <v>305.41353399999997</v>
      </c>
      <c r="R46" s="94"/>
    </row>
    <row r="47" spans="2:18" ht="17.5" hidden="1">
      <c r="B47" s="331" t="s">
        <v>405</v>
      </c>
      <c r="C47" s="329" t="s">
        <v>141</v>
      </c>
      <c r="D47" s="43" t="s">
        <v>11</v>
      </c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2">
        <v>177.47939</v>
      </c>
      <c r="Q47" s="97">
        <v>174.27427299999997</v>
      </c>
      <c r="R47" s="94"/>
    </row>
    <row r="48" spans="2:18" ht="17.5" hidden="1">
      <c r="B48" s="331" t="s">
        <v>406</v>
      </c>
      <c r="C48" s="329" t="s">
        <v>123</v>
      </c>
      <c r="D48" s="43" t="s">
        <v>11</v>
      </c>
      <c r="E48" s="96">
        <v>464.32678420115502</v>
      </c>
      <c r="F48" s="96">
        <v>550.35288786045817</v>
      </c>
      <c r="G48" s="96">
        <v>553.63567049978383</v>
      </c>
      <c r="H48" s="96">
        <v>626.23533545908845</v>
      </c>
      <c r="I48" s="96">
        <v>634.01756564399057</v>
      </c>
      <c r="J48" s="96">
        <v>641.85377335366763</v>
      </c>
      <c r="K48" s="96">
        <v>649.48630455100363</v>
      </c>
      <c r="L48" s="96">
        <v>667.45693347500662</v>
      </c>
      <c r="M48" s="96">
        <v>679.78172068782692</v>
      </c>
      <c r="N48" s="96">
        <v>676.97110887008796</v>
      </c>
      <c r="O48" s="96">
        <v>666.62900000000002</v>
      </c>
      <c r="P48" s="395">
        <f>SUM(P49:P53)</f>
        <v>695.99730899999986</v>
      </c>
      <c r="Q48" s="93">
        <f>SUM(Q49:Q53)</f>
        <v>705.03589100000011</v>
      </c>
      <c r="R48" s="94"/>
    </row>
    <row r="49" spans="2:18" ht="17.5" hidden="1">
      <c r="B49" s="331" t="s">
        <v>407</v>
      </c>
      <c r="C49" s="329" t="s">
        <v>141</v>
      </c>
      <c r="D49" s="43" t="s">
        <v>11</v>
      </c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2">
        <v>225.48451800000009</v>
      </c>
      <c r="Q49" s="97">
        <v>224.79594699999996</v>
      </c>
      <c r="R49" s="94"/>
    </row>
    <row r="50" spans="2:18" ht="17.5" hidden="1">
      <c r="B50" s="331" t="s">
        <v>408</v>
      </c>
      <c r="C50" s="329" t="s">
        <v>141</v>
      </c>
      <c r="D50" s="43" t="s">
        <v>11</v>
      </c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2">
        <v>123.67353499999997</v>
      </c>
      <c r="Q50" s="97">
        <v>131.20137599999998</v>
      </c>
      <c r="R50" s="94"/>
    </row>
    <row r="51" spans="2:18" ht="17.5" hidden="1">
      <c r="B51" s="331" t="s">
        <v>409</v>
      </c>
      <c r="C51" s="329" t="s">
        <v>141</v>
      </c>
      <c r="D51" s="43" t="s">
        <v>11</v>
      </c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2">
        <v>86.563678999999979</v>
      </c>
      <c r="Q51" s="97">
        <v>88.213987000000017</v>
      </c>
      <c r="R51" s="94"/>
    </row>
    <row r="52" spans="2:18" ht="17.5" hidden="1">
      <c r="B52" s="331" t="s">
        <v>410</v>
      </c>
      <c r="C52" s="329" t="s">
        <v>141</v>
      </c>
      <c r="D52" s="43" t="s">
        <v>11</v>
      </c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2">
        <v>237.41722499999986</v>
      </c>
      <c r="Q52" s="97">
        <v>236.64892900000009</v>
      </c>
      <c r="R52" s="94"/>
    </row>
    <row r="53" spans="2:18" ht="17.5" hidden="1">
      <c r="B53" s="331" t="s">
        <v>411</v>
      </c>
      <c r="C53" s="329" t="s">
        <v>141</v>
      </c>
      <c r="D53" s="43" t="s">
        <v>11</v>
      </c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2">
        <v>22.858352</v>
      </c>
      <c r="Q53" s="97">
        <v>24.175652000000003</v>
      </c>
      <c r="R53" s="94"/>
    </row>
    <row r="54" spans="2:18" ht="17.5" hidden="1">
      <c r="B54" s="331" t="s">
        <v>397</v>
      </c>
      <c r="C54" s="329" t="s">
        <v>141</v>
      </c>
      <c r="D54" s="43" t="s">
        <v>11</v>
      </c>
      <c r="E54" s="96">
        <v>2393.8319206143901</v>
      </c>
      <c r="F54" s="96">
        <v>2318.6986288797998</v>
      </c>
      <c r="G54" s="96">
        <v>2340.9139449149948</v>
      </c>
      <c r="H54" s="96">
        <v>2296.0544799055378</v>
      </c>
      <c r="I54" s="96">
        <v>2217.8337300844505</v>
      </c>
      <c r="J54" s="96">
        <v>2288.7691369610029</v>
      </c>
      <c r="K54" s="96">
        <v>2329.8879461014176</v>
      </c>
      <c r="L54" s="96">
        <v>2357.8613443086124</v>
      </c>
      <c r="M54" s="96">
        <v>2401.4732655922621</v>
      </c>
      <c r="N54" s="96">
        <v>2515.8263037172901</v>
      </c>
      <c r="O54" s="96">
        <v>2558.8562149999998</v>
      </c>
      <c r="P54" s="332">
        <v>2538.3344350000002</v>
      </c>
      <c r="Q54" s="97">
        <v>2559.3813950000008</v>
      </c>
      <c r="R54" s="94"/>
    </row>
    <row r="55" spans="2:18" ht="17.5" hidden="1">
      <c r="B55" s="333" t="s">
        <v>398</v>
      </c>
      <c r="C55" s="329" t="s">
        <v>123</v>
      </c>
      <c r="D55" s="158" t="s">
        <v>11</v>
      </c>
      <c r="E55" s="96">
        <v>18.815140280685501</v>
      </c>
      <c r="F55" s="96">
        <v>17.557219269474</v>
      </c>
      <c r="G55" s="96">
        <v>18.326245300989946</v>
      </c>
      <c r="H55" s="96">
        <v>26.074683747489093</v>
      </c>
      <c r="I55" s="96">
        <v>30.104818372953062</v>
      </c>
      <c r="J55" s="96">
        <v>30.59573591978317</v>
      </c>
      <c r="K55" s="96">
        <v>31.522311482395331</v>
      </c>
      <c r="L55" s="96">
        <v>31.370877174354064</v>
      </c>
      <c r="M55" s="96">
        <v>30.338133267285777</v>
      </c>
      <c r="N55" s="320">
        <v>31.718313366091301</v>
      </c>
      <c r="O55" s="96">
        <v>32.084319999999998</v>
      </c>
      <c r="P55" s="395">
        <f>P56+P57+P58</f>
        <v>27.666456</v>
      </c>
      <c r="Q55" s="93">
        <f>Q56+Q57+Q58</f>
        <v>27.503081000000002</v>
      </c>
      <c r="R55" s="94"/>
    </row>
    <row r="56" spans="2:18" ht="17.5" hidden="1">
      <c r="B56" s="331" t="s">
        <v>412</v>
      </c>
      <c r="C56" s="329" t="s">
        <v>141</v>
      </c>
      <c r="D56" s="158" t="s">
        <v>11</v>
      </c>
      <c r="E56" s="330"/>
      <c r="F56" s="330"/>
      <c r="G56" s="330"/>
      <c r="H56" s="330"/>
      <c r="I56" s="330"/>
      <c r="J56" s="330"/>
      <c r="K56" s="330"/>
      <c r="L56" s="330"/>
      <c r="M56" s="330"/>
      <c r="N56" s="334"/>
      <c r="O56" s="330"/>
      <c r="P56" s="612">
        <v>25.151439</v>
      </c>
      <c r="Q56" s="97">
        <v>18.338293999999998</v>
      </c>
      <c r="R56" s="94"/>
    </row>
    <row r="57" spans="2:18" ht="17.5" hidden="1">
      <c r="B57" s="331" t="s">
        <v>413</v>
      </c>
      <c r="C57" s="329" t="s">
        <v>141</v>
      </c>
      <c r="D57" s="158" t="s">
        <v>11</v>
      </c>
      <c r="E57" s="330"/>
      <c r="F57" s="330"/>
      <c r="G57" s="330"/>
      <c r="H57" s="330"/>
      <c r="I57" s="330"/>
      <c r="J57" s="330"/>
      <c r="K57" s="330"/>
      <c r="L57" s="330"/>
      <c r="M57" s="330"/>
      <c r="N57" s="441"/>
      <c r="O57" s="330"/>
      <c r="P57" s="613"/>
      <c r="Q57" s="97">
        <v>6.506049</v>
      </c>
      <c r="R57" s="94"/>
    </row>
    <row r="58" spans="2:18" ht="17.5" hidden="1">
      <c r="B58" s="331" t="s">
        <v>414</v>
      </c>
      <c r="C58" s="329" t="s">
        <v>141</v>
      </c>
      <c r="D58" s="158" t="s">
        <v>11</v>
      </c>
      <c r="E58" s="330"/>
      <c r="F58" s="330"/>
      <c r="G58" s="330"/>
      <c r="H58" s="330"/>
      <c r="I58" s="330"/>
      <c r="J58" s="330"/>
      <c r="K58" s="330"/>
      <c r="L58" s="330"/>
      <c r="M58" s="330"/>
      <c r="N58" s="334"/>
      <c r="O58" s="330"/>
      <c r="P58" s="332">
        <v>2.5150170000000003</v>
      </c>
      <c r="Q58" s="97">
        <v>2.6587380000000014</v>
      </c>
      <c r="R58" s="94"/>
    </row>
    <row r="59" spans="2:18">
      <c r="B59" s="328" t="s">
        <v>351</v>
      </c>
      <c r="C59" s="329" t="s">
        <v>123</v>
      </c>
      <c r="D59" s="43" t="s">
        <v>11</v>
      </c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447">
        <f>P60+P61+P62+P66+P76+P77</f>
        <v>3.1870539999999998</v>
      </c>
      <c r="Q59" s="444">
        <f>Q60+Q61+Q62+Q66+Q76+Q77</f>
        <v>8.9436560000000025</v>
      </c>
      <c r="R59" s="178"/>
    </row>
    <row r="60" spans="2:18" ht="17.5" hidden="1">
      <c r="B60" s="331" t="s">
        <v>415</v>
      </c>
      <c r="C60" s="329" t="s">
        <v>141</v>
      </c>
      <c r="D60" s="43" t="s">
        <v>11</v>
      </c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445"/>
      <c r="P60" s="446">
        <v>1.3003000000000001E-2</v>
      </c>
      <c r="Q60" s="443">
        <v>1.387E-2</v>
      </c>
      <c r="R60" s="94"/>
    </row>
    <row r="61" spans="2:18" ht="17.5" hidden="1">
      <c r="B61" s="331" t="s">
        <v>416</v>
      </c>
      <c r="C61" s="329" t="s">
        <v>141</v>
      </c>
      <c r="D61" s="43" t="s">
        <v>11</v>
      </c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445"/>
      <c r="P61" s="446">
        <v>4.1399999999999998E-4</v>
      </c>
      <c r="Q61" s="443">
        <v>0.10793500000000003</v>
      </c>
      <c r="R61" s="94"/>
    </row>
    <row r="62" spans="2:18" ht="17.5" hidden="1">
      <c r="B62" s="331" t="s">
        <v>417</v>
      </c>
      <c r="C62" s="329" t="s">
        <v>123</v>
      </c>
      <c r="D62" s="43" t="s">
        <v>11</v>
      </c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445"/>
      <c r="P62" s="447">
        <f>P63+P64+P65</f>
        <v>2.8048639999999998</v>
      </c>
      <c r="Q62" s="444">
        <f>Q63+Q64+Q65</f>
        <v>5.4056180000000023</v>
      </c>
      <c r="R62" s="94"/>
    </row>
    <row r="63" spans="2:18" ht="17.5" hidden="1">
      <c r="B63" s="331" t="s">
        <v>418</v>
      </c>
      <c r="C63" s="329" t="s">
        <v>141</v>
      </c>
      <c r="D63" s="43" t="s">
        <v>11</v>
      </c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445"/>
      <c r="P63" s="446">
        <v>0</v>
      </c>
      <c r="Q63" s="443">
        <v>0</v>
      </c>
      <c r="R63" s="94"/>
    </row>
    <row r="64" spans="2:18" ht="17.5" hidden="1">
      <c r="B64" s="448" t="s">
        <v>419</v>
      </c>
      <c r="C64" s="329" t="s">
        <v>141</v>
      </c>
      <c r="D64" s="43" t="s">
        <v>11</v>
      </c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445"/>
      <c r="P64" s="446">
        <v>2.787283</v>
      </c>
      <c r="Q64" s="443">
        <v>3.9925290000000024</v>
      </c>
      <c r="R64" s="94"/>
    </row>
    <row r="65" spans="2:18" ht="17.5" hidden="1">
      <c r="B65" s="448" t="s">
        <v>420</v>
      </c>
      <c r="C65" s="329" t="s">
        <v>141</v>
      </c>
      <c r="D65" s="43" t="s">
        <v>11</v>
      </c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445"/>
      <c r="P65" s="446">
        <v>1.7580999999999999E-2</v>
      </c>
      <c r="Q65" s="443">
        <v>1.413089</v>
      </c>
      <c r="R65" s="94"/>
    </row>
    <row r="66" spans="2:18" ht="17.5" hidden="1">
      <c r="B66" s="331" t="s">
        <v>421</v>
      </c>
      <c r="C66" s="329" t="s">
        <v>123</v>
      </c>
      <c r="D66" s="43" t="s">
        <v>11</v>
      </c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445"/>
      <c r="P66" s="447">
        <f>P67+P70</f>
        <v>0.36071600000000004</v>
      </c>
      <c r="Q66" s="444">
        <f>Q67+Q70</f>
        <v>2.4190039999999997</v>
      </c>
      <c r="R66" s="94"/>
    </row>
    <row r="67" spans="2:18" ht="17.5" hidden="1">
      <c r="B67" s="331" t="s">
        <v>422</v>
      </c>
      <c r="C67" s="329" t="s">
        <v>123</v>
      </c>
      <c r="D67" s="43" t="s">
        <v>11</v>
      </c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445"/>
      <c r="P67" s="447">
        <f>P68+P69</f>
        <v>3.7359999999999997E-3</v>
      </c>
      <c r="Q67" s="444">
        <f>Q68+Q69</f>
        <v>0.48889300000000002</v>
      </c>
      <c r="R67" s="94"/>
    </row>
    <row r="68" spans="2:18" ht="17.5" hidden="1">
      <c r="B68" s="331" t="s">
        <v>423</v>
      </c>
      <c r="C68" s="329" t="s">
        <v>141</v>
      </c>
      <c r="D68" s="43" t="s">
        <v>11</v>
      </c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445"/>
      <c r="P68" s="446">
        <v>3.6749999999999999E-3</v>
      </c>
      <c r="Q68" s="443">
        <v>0.25720700000000002</v>
      </c>
      <c r="R68" s="94"/>
    </row>
    <row r="69" spans="2:18" ht="17.5" hidden="1">
      <c r="B69" s="331" t="s">
        <v>424</v>
      </c>
      <c r="C69" s="329" t="s">
        <v>141</v>
      </c>
      <c r="D69" s="43" t="s">
        <v>11</v>
      </c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445"/>
      <c r="P69" s="446">
        <v>6.0999999999999999E-5</v>
      </c>
      <c r="Q69" s="443">
        <v>0.231686</v>
      </c>
      <c r="R69" s="94"/>
    </row>
    <row r="70" spans="2:18" ht="17.5" hidden="1">
      <c r="B70" s="331" t="s">
        <v>425</v>
      </c>
      <c r="C70" s="329" t="s">
        <v>123</v>
      </c>
      <c r="D70" s="43" t="s">
        <v>11</v>
      </c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445"/>
      <c r="P70" s="447">
        <f>SUM(P71:P75)</f>
        <v>0.35698000000000002</v>
      </c>
      <c r="Q70" s="444">
        <f>SUM(Q71:Q75)</f>
        <v>1.9301109999999997</v>
      </c>
      <c r="R70" s="94"/>
    </row>
    <row r="71" spans="2:18" ht="17.5" hidden="1">
      <c r="B71" s="331" t="s">
        <v>426</v>
      </c>
      <c r="C71" s="329" t="s">
        <v>141</v>
      </c>
      <c r="D71" s="43" t="s">
        <v>11</v>
      </c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445"/>
      <c r="P71" s="446">
        <v>1.1106E-2</v>
      </c>
      <c r="Q71" s="443">
        <v>0.96743900000000016</v>
      </c>
      <c r="R71" s="94"/>
    </row>
    <row r="72" spans="2:18" ht="17.5" hidden="1">
      <c r="B72" s="331" t="s">
        <v>427</v>
      </c>
      <c r="C72" s="329" t="s">
        <v>141</v>
      </c>
      <c r="D72" s="43" t="s">
        <v>11</v>
      </c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445"/>
      <c r="P72" s="446">
        <v>0.28172400000000003</v>
      </c>
      <c r="Q72" s="443">
        <v>0.48829999999999979</v>
      </c>
      <c r="R72" s="94"/>
    </row>
    <row r="73" spans="2:18" ht="17.5" hidden="1">
      <c r="B73" s="331" t="s">
        <v>428</v>
      </c>
      <c r="C73" s="329" t="s">
        <v>141</v>
      </c>
      <c r="D73" s="43" t="s">
        <v>11</v>
      </c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445"/>
      <c r="P73" s="446">
        <v>8.7199999999999995E-4</v>
      </c>
      <c r="Q73" s="443">
        <v>0.10221800000000002</v>
      </c>
      <c r="R73" s="94"/>
    </row>
    <row r="74" spans="2:18" ht="17.5" hidden="1">
      <c r="B74" s="331" t="s">
        <v>429</v>
      </c>
      <c r="C74" s="329" t="s">
        <v>141</v>
      </c>
      <c r="D74" s="43" t="s">
        <v>11</v>
      </c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445"/>
      <c r="P74" s="446">
        <v>5.6843999999999999E-2</v>
      </c>
      <c r="Q74" s="443">
        <v>0.36743899999999996</v>
      </c>
      <c r="R74" s="94"/>
    </row>
    <row r="75" spans="2:18" ht="17.5" hidden="1">
      <c r="B75" s="331" t="s">
        <v>430</v>
      </c>
      <c r="C75" s="329" t="s">
        <v>141</v>
      </c>
      <c r="D75" s="43" t="s">
        <v>11</v>
      </c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445"/>
      <c r="P75" s="446">
        <v>6.4340000000000005E-3</v>
      </c>
      <c r="Q75" s="443">
        <v>4.7150000000000004E-3</v>
      </c>
      <c r="R75" s="94"/>
    </row>
    <row r="76" spans="2:18" ht="17.5" hidden="1">
      <c r="B76" s="331" t="s">
        <v>431</v>
      </c>
      <c r="C76" s="329" t="s">
        <v>141</v>
      </c>
      <c r="D76" s="43" t="s">
        <v>11</v>
      </c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445"/>
      <c r="P76" s="446">
        <v>2.8470000000000001E-3</v>
      </c>
      <c r="Q76" s="443">
        <v>0.72349699999999972</v>
      </c>
      <c r="R76" s="94"/>
    </row>
    <row r="77" spans="2:18" ht="17.5" hidden="1">
      <c r="B77" s="333" t="s">
        <v>432</v>
      </c>
      <c r="C77" s="329" t="s">
        <v>123</v>
      </c>
      <c r="D77" s="158" t="s">
        <v>11</v>
      </c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445"/>
      <c r="P77" s="447">
        <f>P78+P80</f>
        <v>5.2100000000000002E-3</v>
      </c>
      <c r="Q77" s="444">
        <f>Q78+Q79+Q80</f>
        <v>0.27373199999999998</v>
      </c>
      <c r="R77" s="94"/>
    </row>
    <row r="78" spans="2:18" ht="17.5" hidden="1">
      <c r="B78" s="331" t="s">
        <v>433</v>
      </c>
      <c r="C78" s="329" t="s">
        <v>141</v>
      </c>
      <c r="D78" s="158" t="s">
        <v>11</v>
      </c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445"/>
      <c r="P78" s="614">
        <v>5.2090000000000001E-3</v>
      </c>
      <c r="Q78" s="443">
        <v>5.6118000000000001E-2</v>
      </c>
      <c r="R78" s="94"/>
    </row>
    <row r="79" spans="2:18" ht="17.5" hidden="1">
      <c r="B79" s="331" t="s">
        <v>434</v>
      </c>
      <c r="C79" s="329" t="s">
        <v>141</v>
      </c>
      <c r="D79" s="158" t="s">
        <v>11</v>
      </c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445"/>
      <c r="P79" s="615"/>
      <c r="Q79" s="443">
        <v>3.8019999999999994E-3</v>
      </c>
      <c r="R79" s="94"/>
    </row>
    <row r="80" spans="2:18" ht="17.5" hidden="1">
      <c r="B80" s="331" t="s">
        <v>435</v>
      </c>
      <c r="C80" s="329" t="s">
        <v>141</v>
      </c>
      <c r="D80" s="158" t="s">
        <v>11</v>
      </c>
      <c r="E80" s="330"/>
      <c r="F80" s="330"/>
      <c r="G80" s="330"/>
      <c r="H80" s="330"/>
      <c r="I80" s="330"/>
      <c r="J80" s="330"/>
      <c r="K80" s="330"/>
      <c r="L80" s="330"/>
      <c r="M80" s="330"/>
      <c r="N80" s="334"/>
      <c r="O80" s="445"/>
      <c r="P80" s="446">
        <v>9.9999999999999995E-7</v>
      </c>
      <c r="Q80" s="443">
        <v>0.213812</v>
      </c>
      <c r="R80" s="94"/>
    </row>
    <row r="81" spans="2:18">
      <c r="B81" s="335" t="s">
        <v>230</v>
      </c>
      <c r="C81" s="336" t="s">
        <v>123</v>
      </c>
      <c r="D81" s="106" t="s">
        <v>3</v>
      </c>
      <c r="E81" s="279">
        <f t="shared" ref="E81:O81" si="24">E16/E$15</f>
        <v>6.0838881053796708E-2</v>
      </c>
      <c r="F81" s="279">
        <f t="shared" si="24"/>
        <v>6.0339394676819667E-2</v>
      </c>
      <c r="G81" s="279">
        <f t="shared" si="24"/>
        <v>6.069071466623923E-2</v>
      </c>
      <c r="H81" s="279">
        <f t="shared" si="24"/>
        <v>6.5338738683366246E-2</v>
      </c>
      <c r="I81" s="279">
        <f t="shared" si="24"/>
        <v>6.3349120087310612E-2</v>
      </c>
      <c r="J81" s="279">
        <f t="shared" si="24"/>
        <v>5.787085315046514E-2</v>
      </c>
      <c r="K81" s="279">
        <f t="shared" si="24"/>
        <v>5.6097331288954798E-2</v>
      </c>
      <c r="L81" s="279">
        <f t="shared" si="24"/>
        <v>5.1275059248356333E-2</v>
      </c>
      <c r="M81" s="279">
        <f t="shared" si="24"/>
        <v>4.9897790700350962E-2</v>
      </c>
      <c r="N81" s="279">
        <f t="shared" si="24"/>
        <v>4.9183601210699507E-2</v>
      </c>
      <c r="O81" s="279">
        <f t="shared" si="24"/>
        <v>4.8900320067586413E-2</v>
      </c>
      <c r="P81" s="472">
        <f>P16/P$15</f>
        <v>5.086341919099336E-2</v>
      </c>
      <c r="Q81" s="337">
        <f>Q16/Q$15</f>
        <v>4.829475510143437E-2</v>
      </c>
    </row>
    <row r="82" spans="2:18">
      <c r="B82" s="335" t="s">
        <v>231</v>
      </c>
      <c r="C82" s="336" t="s">
        <v>123</v>
      </c>
      <c r="D82" s="106" t="s">
        <v>3</v>
      </c>
      <c r="E82" s="279">
        <f t="shared" ref="E82:Q82" si="25">E17/E$15</f>
        <v>1.2285472784255574E-2</v>
      </c>
      <c r="F82" s="279">
        <f t="shared" si="25"/>
        <v>1.2837343832768629E-2</v>
      </c>
      <c r="G82" s="279">
        <f t="shared" si="25"/>
        <v>1.4224109633921657E-2</v>
      </c>
      <c r="H82" s="279">
        <f t="shared" si="25"/>
        <v>1.3954925085493843E-2</v>
      </c>
      <c r="I82" s="279">
        <f t="shared" si="25"/>
        <v>1.3985876722896372E-2</v>
      </c>
      <c r="J82" s="279">
        <f t="shared" si="25"/>
        <v>1.393867658942469E-2</v>
      </c>
      <c r="K82" s="279">
        <f t="shared" si="25"/>
        <v>1.4736912540069024E-2</v>
      </c>
      <c r="L82" s="279">
        <f t="shared" si="25"/>
        <v>1.5859098574763926E-2</v>
      </c>
      <c r="M82" s="279">
        <f t="shared" si="25"/>
        <v>1.6649405711294949E-2</v>
      </c>
      <c r="N82" s="279">
        <f t="shared" si="25"/>
        <v>1.63637968820564E-2</v>
      </c>
      <c r="O82" s="279">
        <f t="shared" si="25"/>
        <v>1.6671008614692083E-2</v>
      </c>
      <c r="P82" s="472">
        <f t="shared" si="25"/>
        <v>1.6123442111525742E-2</v>
      </c>
      <c r="Q82" s="337">
        <f t="shared" si="25"/>
        <v>1.6033454873617004E-2</v>
      </c>
    </row>
    <row r="83" spans="2:18">
      <c r="B83" s="335" t="s">
        <v>232</v>
      </c>
      <c r="C83" s="336" t="s">
        <v>123</v>
      </c>
      <c r="D83" s="106" t="s">
        <v>3</v>
      </c>
      <c r="E83" s="279">
        <f t="shared" ref="E83:Q83" si="26">E18/E$15</f>
        <v>0.19264495362190087</v>
      </c>
      <c r="F83" s="279">
        <f t="shared" si="26"/>
        <v>0.19773160585215652</v>
      </c>
      <c r="G83" s="279">
        <f t="shared" si="26"/>
        <v>0.20056624151975502</v>
      </c>
      <c r="H83" s="279">
        <f t="shared" si="26"/>
        <v>0.21192024601297854</v>
      </c>
      <c r="I83" s="279">
        <f t="shared" si="26"/>
        <v>0.21677342686083328</v>
      </c>
      <c r="J83" s="279">
        <f t="shared" si="26"/>
        <v>0.21743337185282705</v>
      </c>
      <c r="K83" s="279">
        <f t="shared" si="26"/>
        <v>0.21542892086794402</v>
      </c>
      <c r="L83" s="279">
        <f t="shared" si="26"/>
        <v>0.22008162399255951</v>
      </c>
      <c r="M83" s="279">
        <f t="shared" si="26"/>
        <v>0.22143619353969698</v>
      </c>
      <c r="N83" s="279">
        <f t="shared" si="26"/>
        <v>0.21902457251916915</v>
      </c>
      <c r="O83" s="279">
        <f t="shared" si="26"/>
        <v>0.21892495180980168</v>
      </c>
      <c r="P83" s="472">
        <f t="shared" si="26"/>
        <v>0.22162391580821539</v>
      </c>
      <c r="Q83" s="337">
        <f t="shared" si="26"/>
        <v>0.2196189920442437</v>
      </c>
    </row>
    <row r="84" spans="2:18">
      <c r="B84" s="335" t="s">
        <v>233</v>
      </c>
      <c r="C84" s="336" t="s">
        <v>123</v>
      </c>
      <c r="D84" s="106" t="s">
        <v>3</v>
      </c>
      <c r="E84" s="279">
        <f t="shared" ref="E84:P84" si="27">E22/E$15</f>
        <v>0.2199477585254071</v>
      </c>
      <c r="F84" s="279">
        <f t="shared" si="27"/>
        <v>0.22766762845064534</v>
      </c>
      <c r="G84" s="279">
        <f t="shared" si="27"/>
        <v>0.22555025188593078</v>
      </c>
      <c r="H84" s="279">
        <f t="shared" si="27"/>
        <v>0.22508504638337157</v>
      </c>
      <c r="I84" s="279">
        <f t="shared" si="27"/>
        <v>0.23031321549269793</v>
      </c>
      <c r="J84" s="279">
        <f t="shared" si="27"/>
        <v>0.22928731496283589</v>
      </c>
      <c r="K84" s="279">
        <f t="shared" si="27"/>
        <v>0.23031980954192377</v>
      </c>
      <c r="L84" s="279">
        <f t="shared" si="27"/>
        <v>0.23121280015673676</v>
      </c>
      <c r="M84" s="279">
        <f t="shared" si="27"/>
        <v>0.23131449531102485</v>
      </c>
      <c r="N84" s="279">
        <f t="shared" si="27"/>
        <v>0.22454861445818142</v>
      </c>
      <c r="O84" s="279">
        <f t="shared" si="27"/>
        <v>0.22199281419363659</v>
      </c>
      <c r="P84" s="472">
        <f t="shared" si="27"/>
        <v>0.22461016440259046</v>
      </c>
      <c r="Q84" s="337">
        <f>Q22/Q$15</f>
        <v>0.22517916752888267</v>
      </c>
    </row>
    <row r="85" spans="2:18">
      <c r="B85" s="335" t="s">
        <v>234</v>
      </c>
      <c r="C85" s="336" t="s">
        <v>123</v>
      </c>
      <c r="D85" s="106" t="s">
        <v>3</v>
      </c>
      <c r="E85" s="279">
        <f t="shared" ref="E85:Q85" si="28">E32/E$15</f>
        <v>0.51027227464208391</v>
      </c>
      <c r="F85" s="279">
        <f t="shared" si="28"/>
        <v>0.49765577055626109</v>
      </c>
      <c r="G85" s="279">
        <f t="shared" si="28"/>
        <v>0.49509276389162826</v>
      </c>
      <c r="H85" s="279">
        <f t="shared" si="28"/>
        <v>0.47826966992857634</v>
      </c>
      <c r="I85" s="279">
        <f t="shared" si="28"/>
        <v>0.46920932544385441</v>
      </c>
      <c r="J85" s="279">
        <f t="shared" si="28"/>
        <v>0.47511850921422033</v>
      </c>
      <c r="K85" s="279">
        <f t="shared" si="28"/>
        <v>0.47696392341982924</v>
      </c>
      <c r="L85" s="279">
        <f t="shared" si="28"/>
        <v>0.47524833328521965</v>
      </c>
      <c r="M85" s="279">
        <f t="shared" si="28"/>
        <v>0.47470510163636309</v>
      </c>
      <c r="N85" s="279">
        <f t="shared" si="28"/>
        <v>0.48476769974999007</v>
      </c>
      <c r="O85" s="279">
        <f t="shared" si="28"/>
        <v>0.48739962580180568</v>
      </c>
      <c r="P85" s="472">
        <f t="shared" si="28"/>
        <v>0.48152966622218724</v>
      </c>
      <c r="Q85" s="337">
        <f t="shared" si="28"/>
        <v>0.48560487917414685</v>
      </c>
    </row>
    <row r="86" spans="2:18" ht="15" thickBot="1">
      <c r="B86" s="338" t="s">
        <v>235</v>
      </c>
      <c r="C86" s="62" t="s">
        <v>123</v>
      </c>
      <c r="D86" s="63" t="s">
        <v>3</v>
      </c>
      <c r="E86" s="339">
        <f t="shared" ref="E86:Q86" si="29">E33/E$15</f>
        <v>4.0106593725557716E-3</v>
      </c>
      <c r="F86" s="339">
        <f t="shared" si="29"/>
        <v>3.7682566313486463E-3</v>
      </c>
      <c r="G86" s="339">
        <f t="shared" si="29"/>
        <v>3.8759184025248523E-3</v>
      </c>
      <c r="H86" s="339">
        <f t="shared" si="29"/>
        <v>5.4313739062135328E-3</v>
      </c>
      <c r="I86" s="339">
        <f t="shared" si="29"/>
        <v>6.3690353924075243E-3</v>
      </c>
      <c r="J86" s="339">
        <f t="shared" si="29"/>
        <v>6.3512742302270194E-3</v>
      </c>
      <c r="K86" s="339">
        <f t="shared" si="29"/>
        <v>6.453102341279186E-3</v>
      </c>
      <c r="L86" s="339">
        <f t="shared" si="29"/>
        <v>6.3230847423637673E-3</v>
      </c>
      <c r="M86" s="339">
        <f t="shared" si="29"/>
        <v>5.9970131012691578E-3</v>
      </c>
      <c r="N86" s="339">
        <f t="shared" si="29"/>
        <v>6.1117151799034881E-3</v>
      </c>
      <c r="O86" s="339">
        <f t="shared" si="29"/>
        <v>6.1112795124775663E-3</v>
      </c>
      <c r="P86" s="461">
        <f t="shared" si="29"/>
        <v>5.2493922644878234E-3</v>
      </c>
      <c r="Q86" s="462">
        <f t="shared" si="29"/>
        <v>5.2687512776753318E-3</v>
      </c>
    </row>
    <row r="87" spans="2:18">
      <c r="O87" s="340"/>
      <c r="P87" s="340"/>
      <c r="Q87" s="340"/>
    </row>
    <row r="88" spans="2:18" ht="15" thickBot="1"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78"/>
    </row>
    <row r="89" spans="2:18" ht="18">
      <c r="B89" s="309" t="s">
        <v>7</v>
      </c>
      <c r="C89" s="341"/>
      <c r="D89" s="39" t="s">
        <v>0</v>
      </c>
      <c r="E89" s="310">
        <v>2009</v>
      </c>
      <c r="F89" s="310">
        <v>2010</v>
      </c>
      <c r="G89" s="310">
        <v>2011</v>
      </c>
      <c r="H89" s="310">
        <v>2012</v>
      </c>
      <c r="I89" s="310">
        <v>2013</v>
      </c>
      <c r="J89" s="310">
        <v>2014</v>
      </c>
      <c r="K89" s="310">
        <v>2015</v>
      </c>
      <c r="L89" s="310">
        <v>2016</v>
      </c>
      <c r="M89" s="310">
        <v>2017</v>
      </c>
      <c r="N89" s="310">
        <v>2018</v>
      </c>
      <c r="O89" s="310">
        <v>2019</v>
      </c>
      <c r="P89" s="311">
        <v>2020</v>
      </c>
      <c r="Q89" s="312">
        <v>2021</v>
      </c>
    </row>
    <row r="90" spans="2:18">
      <c r="B90" s="313" t="s">
        <v>6</v>
      </c>
      <c r="C90" s="342"/>
      <c r="D90" s="43"/>
      <c r="E90" s="327">
        <v>2010</v>
      </c>
      <c r="F90" s="327">
        <v>2011</v>
      </c>
      <c r="G90" s="327">
        <v>2012</v>
      </c>
      <c r="H90" s="327">
        <v>2013</v>
      </c>
      <c r="I90" s="327">
        <v>2014</v>
      </c>
      <c r="J90" s="327">
        <v>2015</v>
      </c>
      <c r="K90" s="327">
        <v>2016</v>
      </c>
      <c r="L90" s="327">
        <v>2017</v>
      </c>
      <c r="M90" s="327">
        <v>2018</v>
      </c>
      <c r="N90" s="327">
        <v>2019</v>
      </c>
      <c r="O90" s="315">
        <v>2020</v>
      </c>
      <c r="P90" s="316">
        <v>2021</v>
      </c>
      <c r="Q90" s="317">
        <v>2022</v>
      </c>
    </row>
    <row r="91" spans="2:18" ht="30.75" customHeight="1">
      <c r="B91" s="608" t="s">
        <v>23</v>
      </c>
      <c r="C91" s="609"/>
      <c r="D91" s="609"/>
      <c r="E91" s="609"/>
      <c r="F91" s="609"/>
      <c r="G91" s="609"/>
      <c r="H91" s="609"/>
      <c r="I91" s="609"/>
      <c r="J91" s="609"/>
      <c r="K91" s="609"/>
      <c r="L91" s="609"/>
      <c r="M91" s="609"/>
      <c r="N91" s="609"/>
      <c r="O91" s="609"/>
      <c r="P91" s="610"/>
      <c r="Q91" s="611"/>
    </row>
    <row r="92" spans="2:18">
      <c r="B92" s="343" t="s">
        <v>4</v>
      </c>
      <c r="C92" s="344" t="s">
        <v>141</v>
      </c>
      <c r="D92" s="345" t="s">
        <v>9</v>
      </c>
      <c r="E92" s="238">
        <f t="shared" ref="E92:Q92" si="30">SUM(E100,E108)</f>
        <v>418.29070236999996</v>
      </c>
      <c r="F92" s="238">
        <f t="shared" si="30"/>
        <v>535</v>
      </c>
      <c r="G92" s="238">
        <f t="shared" si="30"/>
        <v>584.17449891002298</v>
      </c>
      <c r="H92" s="238">
        <f t="shared" si="30"/>
        <v>665.73991054742748</v>
      </c>
      <c r="I92" s="96">
        <f t="shared" si="30"/>
        <v>679</v>
      </c>
      <c r="J92" s="96">
        <f t="shared" si="30"/>
        <v>689.50959246141679</v>
      </c>
      <c r="K92" s="96">
        <f t="shared" si="30"/>
        <v>677</v>
      </c>
      <c r="L92" s="96">
        <f t="shared" si="30"/>
        <v>660</v>
      </c>
      <c r="M92" s="96">
        <f t="shared" si="30"/>
        <v>668.53307342884932</v>
      </c>
      <c r="N92" s="96">
        <f t="shared" si="30"/>
        <v>698.47794801375608</v>
      </c>
      <c r="O92" s="346">
        <f t="shared" si="30"/>
        <v>744.65957508999998</v>
      </c>
      <c r="P92" s="332">
        <f t="shared" si="30"/>
        <v>775.45671026000002</v>
      </c>
      <c r="Q92" s="97">
        <f t="shared" si="30"/>
        <v>849.74555550000002</v>
      </c>
      <c r="R92" s="178"/>
    </row>
    <row r="93" spans="2:18" ht="17.5">
      <c r="B93" s="331" t="s">
        <v>14</v>
      </c>
      <c r="C93" s="348" t="s">
        <v>289</v>
      </c>
      <c r="D93" s="345" t="s">
        <v>9</v>
      </c>
      <c r="E93" s="238">
        <f t="shared" ref="E93:O98" si="31">E101+E109</f>
        <v>11.369370610185999</v>
      </c>
      <c r="F93" s="238">
        <f t="shared" si="31"/>
        <v>13.753</v>
      </c>
      <c r="G93" s="238">
        <f t="shared" si="31"/>
        <v>15</v>
      </c>
      <c r="H93" s="238">
        <f t="shared" si="31"/>
        <v>21</v>
      </c>
      <c r="I93" s="96">
        <f t="shared" si="31"/>
        <v>20</v>
      </c>
      <c r="J93" s="96">
        <f t="shared" si="31"/>
        <v>19.207616847600914</v>
      </c>
      <c r="K93" s="96">
        <f t="shared" si="31"/>
        <v>18</v>
      </c>
      <c r="L93" s="96">
        <f t="shared" si="31"/>
        <v>16</v>
      </c>
      <c r="M93" s="96">
        <f t="shared" si="31"/>
        <v>7.9237847896359428</v>
      </c>
      <c r="N93" s="96">
        <f t="shared" si="31"/>
        <v>11.096110754534054</v>
      </c>
      <c r="O93" s="346">
        <f t="shared" si="31"/>
        <v>11.142832562489909</v>
      </c>
      <c r="P93" s="332">
        <f>P101+P109</f>
        <v>11.68534970813533</v>
      </c>
      <c r="Q93" s="97">
        <f>Q101+Q109</f>
        <v>11.5135067975</v>
      </c>
      <c r="R93" s="145"/>
    </row>
    <row r="94" spans="2:18" ht="17.5">
      <c r="B94" s="331" t="s">
        <v>15</v>
      </c>
      <c r="C94" s="348" t="s">
        <v>289</v>
      </c>
      <c r="D94" s="345" t="s">
        <v>9</v>
      </c>
      <c r="E94" s="238">
        <f t="shared" si="31"/>
        <v>4.7134119047899992</v>
      </c>
      <c r="F94" s="238">
        <f t="shared" si="31"/>
        <v>6</v>
      </c>
      <c r="G94" s="238">
        <f t="shared" si="31"/>
        <v>6</v>
      </c>
      <c r="H94" s="238">
        <f t="shared" si="31"/>
        <v>16</v>
      </c>
      <c r="I94" s="96">
        <f t="shared" si="31"/>
        <v>18</v>
      </c>
      <c r="J94" s="96">
        <f t="shared" si="31"/>
        <v>21.199683504893468</v>
      </c>
      <c r="K94" s="96">
        <f t="shared" si="31"/>
        <v>20</v>
      </c>
      <c r="L94" s="96">
        <f t="shared" si="31"/>
        <v>20</v>
      </c>
      <c r="M94" s="96">
        <f t="shared" si="31"/>
        <v>7.6599639992197845</v>
      </c>
      <c r="N94" s="96">
        <f t="shared" si="31"/>
        <v>8.1485218277822717</v>
      </c>
      <c r="O94" s="346">
        <f t="shared" si="31"/>
        <v>9.0923683623235103</v>
      </c>
      <c r="P94" s="332">
        <f t="shared" ref="P94:P98" si="32">P102+P110</f>
        <v>9.4757962293689335</v>
      </c>
      <c r="Q94" s="97">
        <f t="shared" ref="Q94" si="33">Q102+Q110</f>
        <v>9.7368464507999999</v>
      </c>
    </row>
    <row r="95" spans="2:18" ht="17.5">
      <c r="B95" s="331" t="s">
        <v>16</v>
      </c>
      <c r="C95" s="348" t="s">
        <v>289</v>
      </c>
      <c r="D95" s="345" t="s">
        <v>9</v>
      </c>
      <c r="E95" s="238">
        <f t="shared" si="31"/>
        <v>136.10565863237798</v>
      </c>
      <c r="F95" s="238">
        <f t="shared" si="31"/>
        <v>171</v>
      </c>
      <c r="G95" s="238">
        <f t="shared" si="31"/>
        <v>188</v>
      </c>
      <c r="H95" s="238">
        <f t="shared" si="31"/>
        <v>205</v>
      </c>
      <c r="I95" s="96">
        <f t="shared" si="31"/>
        <v>206</v>
      </c>
      <c r="J95" s="96">
        <f t="shared" si="31"/>
        <v>211.96976660737113</v>
      </c>
      <c r="K95" s="96">
        <f t="shared" si="31"/>
        <v>209</v>
      </c>
      <c r="L95" s="96">
        <f t="shared" si="31"/>
        <v>206</v>
      </c>
      <c r="M95" s="96">
        <f t="shared" si="31"/>
        <v>171.69707677746689</v>
      </c>
      <c r="N95" s="96">
        <f t="shared" si="31"/>
        <v>170.89996925659807</v>
      </c>
      <c r="O95" s="346">
        <f t="shared" si="31"/>
        <v>177.49684113135521</v>
      </c>
      <c r="P95" s="332">
        <f t="shared" si="32"/>
        <v>181.21750528269786</v>
      </c>
      <c r="Q95" s="97">
        <f t="shared" ref="Q95" si="34">Q103+Q111</f>
        <v>194.4996524487</v>
      </c>
    </row>
    <row r="96" spans="2:18" ht="17.5">
      <c r="B96" s="331" t="s">
        <v>17</v>
      </c>
      <c r="C96" s="348" t="s">
        <v>289</v>
      </c>
      <c r="D96" s="345" t="s">
        <v>9</v>
      </c>
      <c r="E96" s="238">
        <f t="shared" si="31"/>
        <v>249.95933051754395</v>
      </c>
      <c r="F96" s="238">
        <f t="shared" si="31"/>
        <v>322</v>
      </c>
      <c r="G96" s="238">
        <f t="shared" si="31"/>
        <v>351</v>
      </c>
      <c r="H96" s="238">
        <f t="shared" si="31"/>
        <v>380</v>
      </c>
      <c r="I96" s="96">
        <f t="shared" si="31"/>
        <v>391</v>
      </c>
      <c r="J96" s="96">
        <f t="shared" si="31"/>
        <v>394.02833739754016</v>
      </c>
      <c r="K96" s="96">
        <f t="shared" si="31"/>
        <v>386</v>
      </c>
      <c r="L96" s="96">
        <f t="shared" si="31"/>
        <v>376</v>
      </c>
      <c r="M96" s="96">
        <f t="shared" si="31"/>
        <v>298.74097873484828</v>
      </c>
      <c r="N96" s="96">
        <f t="shared" si="31"/>
        <v>336.88820020458303</v>
      </c>
      <c r="O96" s="346">
        <f t="shared" si="31"/>
        <v>365.78542815331411</v>
      </c>
      <c r="P96" s="332">
        <f t="shared" si="32"/>
        <v>387.40063571882041</v>
      </c>
      <c r="Q96" s="97">
        <f t="shared" ref="Q96" si="35">Q104+Q112</f>
        <v>425.6558956092</v>
      </c>
    </row>
    <row r="97" spans="2:18" ht="17.5">
      <c r="B97" s="331" t="s">
        <v>18</v>
      </c>
      <c r="C97" s="348" t="s">
        <v>289</v>
      </c>
      <c r="D97" s="345" t="s">
        <v>9</v>
      </c>
      <c r="E97" s="238">
        <f t="shared" si="31"/>
        <v>15.439941745101999</v>
      </c>
      <c r="F97" s="238">
        <f t="shared" si="31"/>
        <v>19</v>
      </c>
      <c r="G97" s="238">
        <f t="shared" si="31"/>
        <v>20.399999999999999</v>
      </c>
      <c r="H97" s="238">
        <f t="shared" si="31"/>
        <v>35</v>
      </c>
      <c r="I97" s="96">
        <f t="shared" si="31"/>
        <v>34</v>
      </c>
      <c r="J97" s="96">
        <f t="shared" si="31"/>
        <v>34.112227040018134</v>
      </c>
      <c r="K97" s="96">
        <f t="shared" si="31"/>
        <v>34</v>
      </c>
      <c r="L97" s="96">
        <f t="shared" si="31"/>
        <v>33</v>
      </c>
      <c r="M97" s="96">
        <f t="shared" si="31"/>
        <v>27.801231087144529</v>
      </c>
      <c r="N97" s="96">
        <f t="shared" si="31"/>
        <v>37.081436639843744</v>
      </c>
      <c r="O97" s="346">
        <f t="shared" si="31"/>
        <v>32.9821780974492</v>
      </c>
      <c r="P97" s="332">
        <f t="shared" si="32"/>
        <v>32.29815932084238</v>
      </c>
      <c r="Q97" s="97">
        <f t="shared" ref="Q97" si="36">Q105+Q113</f>
        <v>34.655678718200001</v>
      </c>
    </row>
    <row r="98" spans="2:18" ht="17.5">
      <c r="B98" s="331" t="s">
        <v>19</v>
      </c>
      <c r="C98" s="348" t="s">
        <v>289</v>
      </c>
      <c r="D98" s="345" t="s">
        <v>9</v>
      </c>
      <c r="E98" s="238">
        <f t="shared" si="31"/>
        <v>0</v>
      </c>
      <c r="F98" s="238">
        <f t="shared" si="31"/>
        <v>3</v>
      </c>
      <c r="G98" s="238">
        <f t="shared" si="31"/>
        <v>3.4</v>
      </c>
      <c r="H98" s="238">
        <f t="shared" si="31"/>
        <v>9</v>
      </c>
      <c r="I98" s="96">
        <f t="shared" si="31"/>
        <v>10</v>
      </c>
      <c r="J98" s="96">
        <f t="shared" si="31"/>
        <v>8.9919610639929175</v>
      </c>
      <c r="K98" s="96">
        <f t="shared" si="31"/>
        <v>10</v>
      </c>
      <c r="L98" s="96">
        <f t="shared" si="31"/>
        <v>9</v>
      </c>
      <c r="M98" s="96">
        <f t="shared" si="31"/>
        <v>6.6693472825010192</v>
      </c>
      <c r="N98" s="96">
        <f t="shared" si="31"/>
        <v>7.5369948814393206</v>
      </c>
      <c r="O98" s="346">
        <f t="shared" si="31"/>
        <v>9.807409927772861</v>
      </c>
      <c r="P98" s="332">
        <f t="shared" si="32"/>
        <v>9.6435367974962976</v>
      </c>
      <c r="Q98" s="97">
        <f t="shared" ref="Q98" si="37">Q106+Q114</f>
        <v>12.9988827028</v>
      </c>
    </row>
    <row r="99" spans="2:18" ht="17.5">
      <c r="B99" s="331" t="s">
        <v>142</v>
      </c>
      <c r="C99" s="348" t="s">
        <v>141</v>
      </c>
      <c r="D99" s="345" t="s">
        <v>9</v>
      </c>
      <c r="E99" s="347"/>
      <c r="F99" s="347"/>
      <c r="G99" s="347"/>
      <c r="H99" s="350"/>
      <c r="I99" s="350"/>
      <c r="J99" s="350"/>
      <c r="K99" s="350"/>
      <c r="L99" s="350"/>
      <c r="M99" s="96">
        <f t="shared" ref="M99:Q99" si="38">SUM(M107,M115)</f>
        <v>148.04069075803284</v>
      </c>
      <c r="N99" s="96">
        <f t="shared" si="38"/>
        <v>126.82671444897555</v>
      </c>
      <c r="O99" s="346">
        <f t="shared" si="38"/>
        <v>138.35275809999999</v>
      </c>
      <c r="P99" s="332">
        <f t="shared" si="38"/>
        <v>143.71372467</v>
      </c>
      <c r="Q99" s="97">
        <f t="shared" si="38"/>
        <v>160.59422961000001</v>
      </c>
    </row>
    <row r="100" spans="2:18">
      <c r="B100" s="343" t="s">
        <v>348</v>
      </c>
      <c r="C100" s="344" t="s">
        <v>141</v>
      </c>
      <c r="D100" s="345" t="s">
        <v>9</v>
      </c>
      <c r="E100" s="238">
        <v>418.29070236999996</v>
      </c>
      <c r="F100" s="238">
        <v>535</v>
      </c>
      <c r="G100" s="238">
        <v>584.17449891002298</v>
      </c>
      <c r="H100" s="238">
        <v>665.73991054742748</v>
      </c>
      <c r="I100" s="96">
        <v>679</v>
      </c>
      <c r="J100" s="96">
        <v>689.50959246141679</v>
      </c>
      <c r="K100" s="96">
        <v>677</v>
      </c>
      <c r="L100" s="96">
        <v>660</v>
      </c>
      <c r="M100" s="96">
        <v>668.53307342884932</v>
      </c>
      <c r="N100" s="96">
        <v>698.47794801375608</v>
      </c>
      <c r="O100" s="346">
        <v>744.65957508999998</v>
      </c>
      <c r="P100" s="346">
        <v>774.78346297999997</v>
      </c>
      <c r="Q100" s="97">
        <v>847.21636173000002</v>
      </c>
      <c r="R100" s="178"/>
    </row>
    <row r="101" spans="2:18" ht="17.5" hidden="1">
      <c r="B101" s="331" t="s">
        <v>393</v>
      </c>
      <c r="C101" s="348" t="s">
        <v>289</v>
      </c>
      <c r="D101" s="345" t="s">
        <v>9</v>
      </c>
      <c r="E101" s="238">
        <v>11.369370610185999</v>
      </c>
      <c r="F101" s="238">
        <v>13.753</v>
      </c>
      <c r="G101" s="238">
        <v>15</v>
      </c>
      <c r="H101" s="238">
        <v>21</v>
      </c>
      <c r="I101" s="349">
        <v>20</v>
      </c>
      <c r="J101" s="349">
        <v>19.207616847600914</v>
      </c>
      <c r="K101" s="349">
        <v>18</v>
      </c>
      <c r="L101" s="349">
        <v>16</v>
      </c>
      <c r="M101" s="349">
        <v>7.9237847896359428</v>
      </c>
      <c r="N101" s="96">
        <v>11.096110754534054</v>
      </c>
      <c r="O101" s="346">
        <v>11.142832562489909</v>
      </c>
      <c r="P101" s="332">
        <v>11.68534970813533</v>
      </c>
      <c r="Q101" s="97">
        <v>11.5128067975</v>
      </c>
    </row>
    <row r="102" spans="2:18" ht="17.5" hidden="1">
      <c r="B102" s="331" t="s">
        <v>394</v>
      </c>
      <c r="C102" s="348" t="s">
        <v>289</v>
      </c>
      <c r="D102" s="345" t="s">
        <v>9</v>
      </c>
      <c r="E102" s="238">
        <v>4.7134119047899992</v>
      </c>
      <c r="F102" s="238">
        <v>6</v>
      </c>
      <c r="G102" s="238">
        <v>6</v>
      </c>
      <c r="H102" s="238">
        <v>16</v>
      </c>
      <c r="I102" s="349">
        <v>18</v>
      </c>
      <c r="J102" s="349">
        <v>21.199683504893468</v>
      </c>
      <c r="K102" s="349">
        <v>20</v>
      </c>
      <c r="L102" s="349">
        <v>20</v>
      </c>
      <c r="M102" s="349">
        <v>7.6599639992197845</v>
      </c>
      <c r="N102" s="96">
        <v>8.1485218277822717</v>
      </c>
      <c r="O102" s="346">
        <v>9.0923683623235103</v>
      </c>
      <c r="P102" s="332">
        <v>9.4757962293689335</v>
      </c>
      <c r="Q102" s="97">
        <v>9.7229464508000003</v>
      </c>
    </row>
    <row r="103" spans="2:18" ht="17.5" hidden="1">
      <c r="B103" s="331" t="s">
        <v>395</v>
      </c>
      <c r="C103" s="348" t="s">
        <v>289</v>
      </c>
      <c r="D103" s="345" t="s">
        <v>9</v>
      </c>
      <c r="E103" s="238">
        <v>136.10565863237798</v>
      </c>
      <c r="F103" s="238">
        <v>171</v>
      </c>
      <c r="G103" s="238">
        <v>188</v>
      </c>
      <c r="H103" s="238">
        <v>205</v>
      </c>
      <c r="I103" s="349">
        <v>206</v>
      </c>
      <c r="J103" s="349">
        <v>211.96976660737113</v>
      </c>
      <c r="K103" s="349">
        <v>209</v>
      </c>
      <c r="L103" s="349">
        <v>206</v>
      </c>
      <c r="M103" s="349">
        <v>171.69707677746689</v>
      </c>
      <c r="N103" s="96">
        <v>170.89996925659807</v>
      </c>
      <c r="O103" s="346">
        <v>177.49684113135521</v>
      </c>
      <c r="P103" s="332">
        <v>180.71750528269786</v>
      </c>
      <c r="Q103" s="97">
        <v>193.5423524487</v>
      </c>
    </row>
    <row r="104" spans="2:18" ht="17.5" hidden="1">
      <c r="B104" s="331" t="s">
        <v>396</v>
      </c>
      <c r="C104" s="348" t="s">
        <v>289</v>
      </c>
      <c r="D104" s="345" t="s">
        <v>9</v>
      </c>
      <c r="E104" s="238">
        <v>249.95933051754395</v>
      </c>
      <c r="F104" s="238">
        <v>322</v>
      </c>
      <c r="G104" s="238">
        <v>351</v>
      </c>
      <c r="H104" s="238">
        <v>380</v>
      </c>
      <c r="I104" s="349">
        <v>391</v>
      </c>
      <c r="J104" s="349">
        <v>394.02833739754016</v>
      </c>
      <c r="K104" s="349">
        <v>386</v>
      </c>
      <c r="L104" s="349">
        <v>376</v>
      </c>
      <c r="M104" s="349">
        <v>298.74097873484828</v>
      </c>
      <c r="N104" s="96">
        <v>336.88820020458303</v>
      </c>
      <c r="O104" s="346">
        <v>365.78542815331411</v>
      </c>
      <c r="P104" s="332">
        <v>387.30063571882039</v>
      </c>
      <c r="Q104" s="97">
        <v>424.69519560920003</v>
      </c>
    </row>
    <row r="105" spans="2:18" ht="17.5" hidden="1">
      <c r="B105" s="331" t="s">
        <v>397</v>
      </c>
      <c r="C105" s="348" t="s">
        <v>289</v>
      </c>
      <c r="D105" s="345" t="s">
        <v>9</v>
      </c>
      <c r="E105" s="238">
        <v>15.439941745101999</v>
      </c>
      <c r="F105" s="238">
        <v>19</v>
      </c>
      <c r="G105" s="238">
        <v>20.399999999999999</v>
      </c>
      <c r="H105" s="238">
        <v>35</v>
      </c>
      <c r="I105" s="349">
        <v>34</v>
      </c>
      <c r="J105" s="349">
        <v>34.112227040018134</v>
      </c>
      <c r="K105" s="349">
        <v>34</v>
      </c>
      <c r="L105" s="349">
        <v>33</v>
      </c>
      <c r="M105" s="349">
        <v>27.801231087144529</v>
      </c>
      <c r="N105" s="96">
        <v>37.081436639843744</v>
      </c>
      <c r="O105" s="346">
        <v>32.9821780974492</v>
      </c>
      <c r="P105" s="332">
        <v>32.29815932084238</v>
      </c>
      <c r="Q105" s="97">
        <v>34.6453787182</v>
      </c>
    </row>
    <row r="106" spans="2:18" ht="17.5" hidden="1">
      <c r="B106" s="331" t="s">
        <v>398</v>
      </c>
      <c r="C106" s="348" t="s">
        <v>289</v>
      </c>
      <c r="D106" s="345" t="s">
        <v>9</v>
      </c>
      <c r="E106" s="238"/>
      <c r="F106" s="238">
        <v>3</v>
      </c>
      <c r="G106" s="238">
        <v>3.4</v>
      </c>
      <c r="H106" s="238">
        <v>9</v>
      </c>
      <c r="I106" s="349">
        <v>10</v>
      </c>
      <c r="J106" s="349">
        <v>8.9919610639929175</v>
      </c>
      <c r="K106" s="349">
        <v>10</v>
      </c>
      <c r="L106" s="349">
        <v>9</v>
      </c>
      <c r="M106" s="349">
        <v>6.6693472825010192</v>
      </c>
      <c r="N106" s="96">
        <v>7.5369948814393206</v>
      </c>
      <c r="O106" s="346">
        <v>9.807409927772861</v>
      </c>
      <c r="P106" s="332">
        <v>9.6435367974962976</v>
      </c>
      <c r="Q106" s="97">
        <v>12.8583827028</v>
      </c>
    </row>
    <row r="107" spans="2:18" ht="17.5" hidden="1">
      <c r="B107" s="331" t="s">
        <v>399</v>
      </c>
      <c r="C107" s="348" t="s">
        <v>141</v>
      </c>
      <c r="D107" s="345" t="s">
        <v>9</v>
      </c>
      <c r="E107" s="347"/>
      <c r="F107" s="347"/>
      <c r="G107" s="347"/>
      <c r="H107" s="350"/>
      <c r="I107" s="350"/>
      <c r="J107" s="350"/>
      <c r="K107" s="350"/>
      <c r="L107" s="350"/>
      <c r="M107" s="349">
        <v>148.04069075803284</v>
      </c>
      <c r="N107" s="96">
        <v>126.82671444897555</v>
      </c>
      <c r="O107" s="346">
        <v>138.35275809999999</v>
      </c>
      <c r="P107" s="332">
        <v>143.66247998</v>
      </c>
      <c r="Q107" s="97">
        <v>160.23929906000001</v>
      </c>
    </row>
    <row r="108" spans="2:18">
      <c r="B108" s="343" t="s">
        <v>349</v>
      </c>
      <c r="C108" s="344" t="s">
        <v>141</v>
      </c>
      <c r="D108" s="345" t="s">
        <v>9</v>
      </c>
      <c r="E108" s="347"/>
      <c r="F108" s="347"/>
      <c r="G108" s="347"/>
      <c r="H108" s="347"/>
      <c r="I108" s="347"/>
      <c r="J108" s="347"/>
      <c r="K108" s="347"/>
      <c r="L108" s="347"/>
      <c r="M108" s="347"/>
      <c r="N108" s="347"/>
      <c r="O108" s="347"/>
      <c r="P108" s="498">
        <v>0.67324728</v>
      </c>
      <c r="Q108" s="100">
        <v>2.52919377</v>
      </c>
      <c r="R108" s="178"/>
    </row>
    <row r="109" spans="2:18" ht="17.5" hidden="1">
      <c r="B109" s="331" t="s">
        <v>415</v>
      </c>
      <c r="C109" s="348" t="s">
        <v>289</v>
      </c>
      <c r="D109" s="345" t="s">
        <v>9</v>
      </c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498">
        <v>0</v>
      </c>
      <c r="Q109" s="100">
        <v>6.9999999999999999E-4</v>
      </c>
    </row>
    <row r="110" spans="2:18" ht="17.5" hidden="1">
      <c r="B110" s="331" t="s">
        <v>416</v>
      </c>
      <c r="C110" s="348" t="s">
        <v>289</v>
      </c>
      <c r="D110" s="345" t="s">
        <v>9</v>
      </c>
      <c r="E110" s="347"/>
      <c r="F110" s="347"/>
      <c r="G110" s="347"/>
      <c r="H110" s="347"/>
      <c r="I110" s="347"/>
      <c r="J110" s="347"/>
      <c r="K110" s="347"/>
      <c r="L110" s="347"/>
      <c r="M110" s="347"/>
      <c r="N110" s="347"/>
      <c r="O110" s="347"/>
      <c r="P110" s="498">
        <v>0</v>
      </c>
      <c r="Q110" s="100">
        <v>1.3899999999999999E-2</v>
      </c>
    </row>
    <row r="111" spans="2:18" ht="17.5" hidden="1">
      <c r="B111" s="331" t="s">
        <v>417</v>
      </c>
      <c r="C111" s="348" t="s">
        <v>289</v>
      </c>
      <c r="D111" s="345" t="s">
        <v>9</v>
      </c>
      <c r="E111" s="347"/>
      <c r="F111" s="347"/>
      <c r="G111" s="347"/>
      <c r="H111" s="347"/>
      <c r="I111" s="347"/>
      <c r="J111" s="347"/>
      <c r="K111" s="347"/>
      <c r="L111" s="347"/>
      <c r="M111" s="347"/>
      <c r="N111" s="347"/>
      <c r="O111" s="347"/>
      <c r="P111" s="498">
        <v>0.5</v>
      </c>
      <c r="Q111" s="100">
        <v>0.95730000000000004</v>
      </c>
    </row>
    <row r="112" spans="2:18" ht="17.5" hidden="1">
      <c r="B112" s="331" t="s">
        <v>421</v>
      </c>
      <c r="C112" s="348" t="s">
        <v>289</v>
      </c>
      <c r="D112" s="345" t="s">
        <v>9</v>
      </c>
      <c r="E112" s="347"/>
      <c r="F112" s="347"/>
      <c r="G112" s="347"/>
      <c r="H112" s="347"/>
      <c r="I112" s="347"/>
      <c r="J112" s="347"/>
      <c r="K112" s="347"/>
      <c r="L112" s="347"/>
      <c r="M112" s="347"/>
      <c r="N112" s="347"/>
      <c r="O112" s="347"/>
      <c r="P112" s="498">
        <v>0.1</v>
      </c>
      <c r="Q112" s="100">
        <v>0.9607</v>
      </c>
    </row>
    <row r="113" spans="2:18" ht="17.5" hidden="1">
      <c r="B113" s="331" t="s">
        <v>431</v>
      </c>
      <c r="C113" s="348" t="s">
        <v>289</v>
      </c>
      <c r="D113" s="345" t="s">
        <v>9</v>
      </c>
      <c r="E113" s="347"/>
      <c r="F113" s="347"/>
      <c r="G113" s="347"/>
      <c r="H113" s="347"/>
      <c r="I113" s="347"/>
      <c r="J113" s="347"/>
      <c r="K113" s="347"/>
      <c r="L113" s="347"/>
      <c r="M113" s="347"/>
      <c r="N113" s="347"/>
      <c r="O113" s="347"/>
      <c r="P113" s="498">
        <v>0</v>
      </c>
      <c r="Q113" s="100">
        <v>1.03E-2</v>
      </c>
    </row>
    <row r="114" spans="2:18" ht="17.5" hidden="1">
      <c r="B114" s="331" t="s">
        <v>432</v>
      </c>
      <c r="C114" s="348" t="s">
        <v>289</v>
      </c>
      <c r="D114" s="345" t="s">
        <v>9</v>
      </c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498">
        <v>0</v>
      </c>
      <c r="Q114" s="100">
        <v>0.14050000000000001</v>
      </c>
      <c r="R114" s="494"/>
    </row>
    <row r="115" spans="2:18" ht="17.5" hidden="1">
      <c r="B115" s="331" t="s">
        <v>436</v>
      </c>
      <c r="C115" s="348" t="s">
        <v>141</v>
      </c>
      <c r="D115" s="345" t="s">
        <v>9</v>
      </c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498">
        <v>5.1244690000000002E-2</v>
      </c>
      <c r="Q115" s="100">
        <v>0.35493055000000001</v>
      </c>
      <c r="R115" s="494"/>
    </row>
    <row r="116" spans="2:18">
      <c r="B116" s="87" t="s">
        <v>169</v>
      </c>
      <c r="C116" s="105" t="s">
        <v>123</v>
      </c>
      <c r="D116" s="351" t="s">
        <v>3</v>
      </c>
      <c r="E116" s="352">
        <f t="shared" ref="E116:Q116" si="39">E93/SUM(E$93:E$98)</f>
        <v>2.722630538466829E-2</v>
      </c>
      <c r="F116" s="352">
        <f t="shared" si="39"/>
        <v>2.571841579196377E-2</v>
      </c>
      <c r="G116" s="352">
        <f t="shared" si="39"/>
        <v>2.5693730729701953E-2</v>
      </c>
      <c r="H116" s="352">
        <f t="shared" si="39"/>
        <v>3.1531531531531529E-2</v>
      </c>
      <c r="I116" s="352">
        <f t="shared" si="39"/>
        <v>2.9455081001472753E-2</v>
      </c>
      <c r="J116" s="352">
        <f t="shared" si="39"/>
        <v>2.7856924773204984E-2</v>
      </c>
      <c r="K116" s="352">
        <f t="shared" si="39"/>
        <v>2.6587887740029542E-2</v>
      </c>
      <c r="L116" s="352">
        <f t="shared" si="39"/>
        <v>2.4242424242424242E-2</v>
      </c>
      <c r="M116" s="352">
        <f t="shared" si="39"/>
        <v>1.5223632570713934E-2</v>
      </c>
      <c r="N116" s="352">
        <f t="shared" si="39"/>
        <v>1.9410630298721507E-2</v>
      </c>
      <c r="O116" s="352">
        <f t="shared" si="39"/>
        <v>1.8378200304863444E-2</v>
      </c>
      <c r="P116" s="396">
        <f t="shared" si="39"/>
        <v>1.8497643772384054E-2</v>
      </c>
      <c r="Q116" s="353">
        <f t="shared" si="39"/>
        <v>1.6708993506797987E-2</v>
      </c>
    </row>
    <row r="117" spans="2:18">
      <c r="B117" s="87" t="s">
        <v>170</v>
      </c>
      <c r="C117" s="105" t="s">
        <v>123</v>
      </c>
      <c r="D117" s="351" t="s">
        <v>3</v>
      </c>
      <c r="E117" s="352">
        <f t="shared" ref="E117:Q117" si="40">E94/SUM(E$93:E$98)</f>
        <v>1.1287237994385703E-2</v>
      </c>
      <c r="F117" s="352">
        <f t="shared" si="40"/>
        <v>1.1220133407386215E-2</v>
      </c>
      <c r="G117" s="352">
        <f t="shared" si="40"/>
        <v>1.0277492291880783E-2</v>
      </c>
      <c r="H117" s="352">
        <f t="shared" si="40"/>
        <v>2.4024024024024024E-2</v>
      </c>
      <c r="I117" s="352">
        <f t="shared" si="40"/>
        <v>2.6509572901325478E-2</v>
      </c>
      <c r="J117" s="352">
        <f t="shared" si="40"/>
        <v>3.0746031290463518E-2</v>
      </c>
      <c r="K117" s="352">
        <f t="shared" si="40"/>
        <v>2.9542097488921712E-2</v>
      </c>
      <c r="L117" s="352">
        <f t="shared" si="40"/>
        <v>3.0303030303030304E-2</v>
      </c>
      <c r="M117" s="352">
        <f t="shared" si="40"/>
        <v>1.4716764844691879E-2</v>
      </c>
      <c r="N117" s="352">
        <f t="shared" si="40"/>
        <v>1.4254358863128152E-2</v>
      </c>
      <c r="O117" s="352">
        <f t="shared" si="40"/>
        <v>1.4996309607208639E-2</v>
      </c>
      <c r="P117" s="396">
        <f t="shared" si="40"/>
        <v>1.4999970688813605E-2</v>
      </c>
      <c r="Q117" s="353">
        <f t="shared" si="40"/>
        <v>1.4130612591329059E-2</v>
      </c>
    </row>
    <row r="118" spans="2:18">
      <c r="B118" s="87" t="s">
        <v>171</v>
      </c>
      <c r="C118" s="105" t="s">
        <v>123</v>
      </c>
      <c r="D118" s="351" t="s">
        <v>3</v>
      </c>
      <c r="E118" s="352">
        <f t="shared" ref="E118:Q118" si="41">E95/SUM(E$93:E$98)</f>
        <v>0.32593310162539535</v>
      </c>
      <c r="F118" s="352">
        <f t="shared" si="41"/>
        <v>0.31977380211050715</v>
      </c>
      <c r="G118" s="352">
        <f t="shared" si="41"/>
        <v>0.32202809181226449</v>
      </c>
      <c r="H118" s="352">
        <f t="shared" si="41"/>
        <v>0.30780780780780781</v>
      </c>
      <c r="I118" s="352">
        <f t="shared" si="41"/>
        <v>0.30338733431516934</v>
      </c>
      <c r="J118" s="352">
        <f t="shared" si="41"/>
        <v>0.30742105537746006</v>
      </c>
      <c r="K118" s="352">
        <f t="shared" si="41"/>
        <v>0.3087149187592319</v>
      </c>
      <c r="L118" s="352">
        <f t="shared" si="41"/>
        <v>0.31212121212121213</v>
      </c>
      <c r="M118" s="352">
        <f t="shared" si="41"/>
        <v>0.32987433148672241</v>
      </c>
      <c r="N118" s="352">
        <f t="shared" si="41"/>
        <v>0.29895845442487157</v>
      </c>
      <c r="O118" s="352">
        <f t="shared" si="41"/>
        <v>0.29275074192298983</v>
      </c>
      <c r="P118" s="396">
        <f t="shared" si="41"/>
        <v>0.28686320407730231</v>
      </c>
      <c r="Q118" s="353">
        <f t="shared" si="41"/>
        <v>0.2822679038627452</v>
      </c>
    </row>
    <row r="119" spans="2:18">
      <c r="B119" s="87" t="s">
        <v>172</v>
      </c>
      <c r="C119" s="105" t="s">
        <v>123</v>
      </c>
      <c r="D119" s="351" t="s">
        <v>3</v>
      </c>
      <c r="E119" s="352">
        <f t="shared" ref="E119:Q119" si="42">E96/SUM(E$93:E$98)</f>
        <v>0.59857922656868623</v>
      </c>
      <c r="F119" s="352">
        <f t="shared" si="42"/>
        <v>0.60214715952972686</v>
      </c>
      <c r="G119" s="352">
        <f t="shared" si="42"/>
        <v>0.60123329907502576</v>
      </c>
      <c r="H119" s="352">
        <f t="shared" si="42"/>
        <v>0.57057057057057059</v>
      </c>
      <c r="I119" s="352">
        <f t="shared" si="42"/>
        <v>0.57584683357879229</v>
      </c>
      <c r="J119" s="352">
        <f t="shared" si="42"/>
        <v>0.5714617196128261</v>
      </c>
      <c r="K119" s="352">
        <f t="shared" si="42"/>
        <v>0.57016248153618909</v>
      </c>
      <c r="L119" s="352">
        <f t="shared" si="42"/>
        <v>0.5696969696969697</v>
      </c>
      <c r="M119" s="352">
        <f t="shared" si="42"/>
        <v>0.57395840684912758</v>
      </c>
      <c r="N119" s="352">
        <f t="shared" si="42"/>
        <v>0.58932471483315052</v>
      </c>
      <c r="O119" s="352">
        <f t="shared" si="42"/>
        <v>0.60330062661371264</v>
      </c>
      <c r="P119" s="396">
        <f t="shared" si="42"/>
        <v>0.61324642699678045</v>
      </c>
      <c r="Q119" s="353">
        <f t="shared" si="42"/>
        <v>0.61773373837836609</v>
      </c>
    </row>
    <row r="120" spans="2:18">
      <c r="B120" s="87" t="s">
        <v>173</v>
      </c>
      <c r="C120" s="105" t="s">
        <v>123</v>
      </c>
      <c r="D120" s="351" t="s">
        <v>3</v>
      </c>
      <c r="E120" s="352">
        <f t="shared" ref="E120:Q120" si="43">E97/SUM(E$93:E$98)</f>
        <v>3.6974128426864442E-2</v>
      </c>
      <c r="F120" s="352">
        <f t="shared" si="43"/>
        <v>3.5530422456723013E-2</v>
      </c>
      <c r="G120" s="352">
        <f t="shared" si="43"/>
        <v>3.4943473792394653E-2</v>
      </c>
      <c r="H120" s="352">
        <f t="shared" si="43"/>
        <v>5.2552552552552555E-2</v>
      </c>
      <c r="I120" s="352">
        <f t="shared" si="43"/>
        <v>5.0073637702503684E-2</v>
      </c>
      <c r="J120" s="352">
        <f t="shared" si="43"/>
        <v>4.9473172546075882E-2</v>
      </c>
      <c r="K120" s="352">
        <f t="shared" si="43"/>
        <v>5.0221565731166914E-2</v>
      </c>
      <c r="L120" s="352">
        <f t="shared" si="43"/>
        <v>0.05</v>
      </c>
      <c r="M120" s="352">
        <f t="shared" si="43"/>
        <v>5.3413329402607831E-2</v>
      </c>
      <c r="N120" s="352">
        <f t="shared" si="43"/>
        <v>6.4867238033593094E-2</v>
      </c>
      <c r="O120" s="352">
        <f t="shared" si="43"/>
        <v>5.4398472934619246E-2</v>
      </c>
      <c r="P120" s="396">
        <f t="shared" si="43"/>
        <v>5.112725425792871E-2</v>
      </c>
      <c r="Q120" s="353">
        <f t="shared" si="43"/>
        <v>5.0294104208269221E-2</v>
      </c>
    </row>
    <row r="121" spans="2:18">
      <c r="B121" s="87" t="s">
        <v>236</v>
      </c>
      <c r="C121" s="105" t="s">
        <v>123</v>
      </c>
      <c r="D121" s="351" t="s">
        <v>3</v>
      </c>
      <c r="E121" s="352">
        <f t="shared" ref="E121:Q121" si="44">E98/SUM(E$93:E$98)</f>
        <v>0</v>
      </c>
      <c r="F121" s="352">
        <f t="shared" si="44"/>
        <v>5.6100667036931076E-3</v>
      </c>
      <c r="G121" s="352">
        <f t="shared" si="44"/>
        <v>5.823912298732443E-3</v>
      </c>
      <c r="H121" s="352">
        <f t="shared" si="44"/>
        <v>1.3513513513513514E-2</v>
      </c>
      <c r="I121" s="352">
        <f t="shared" si="44"/>
        <v>1.4727540500736377E-2</v>
      </c>
      <c r="J121" s="352">
        <f t="shared" si="44"/>
        <v>1.3041096399969351E-2</v>
      </c>
      <c r="K121" s="352">
        <f t="shared" si="44"/>
        <v>1.4771048744460856E-2</v>
      </c>
      <c r="L121" s="352">
        <f t="shared" si="44"/>
        <v>1.3636363636363636E-2</v>
      </c>
      <c r="M121" s="352">
        <f t="shared" si="44"/>
        <v>1.2813534846136305E-2</v>
      </c>
      <c r="N121" s="352">
        <f t="shared" si="44"/>
        <v>1.3184603546535013E-2</v>
      </c>
      <c r="O121" s="352">
        <f t="shared" si="44"/>
        <v>1.617564861660634E-2</v>
      </c>
      <c r="P121" s="396">
        <f t="shared" si="44"/>
        <v>1.52655002067909E-2</v>
      </c>
      <c r="Q121" s="353">
        <f t="shared" si="44"/>
        <v>1.8864647452492535E-2</v>
      </c>
    </row>
    <row r="122" spans="2:18">
      <c r="B122" s="328" t="s">
        <v>25</v>
      </c>
      <c r="C122" s="348" t="s">
        <v>289</v>
      </c>
      <c r="D122" s="345" t="s">
        <v>9</v>
      </c>
      <c r="E122" s="347"/>
      <c r="F122" s="347"/>
      <c r="G122" s="347"/>
      <c r="H122" s="349">
        <f>H124+H126</f>
        <v>-1.3087629500000002</v>
      </c>
      <c r="I122" s="349">
        <f t="shared" ref="I122:Q122" si="45">I124+I126</f>
        <v>-2.9531867599999999</v>
      </c>
      <c r="J122" s="349">
        <f t="shared" si="45"/>
        <v>-20.340322260000004</v>
      </c>
      <c r="K122" s="349">
        <f t="shared" si="45"/>
        <v>-25.561341489999993</v>
      </c>
      <c r="L122" s="349">
        <f t="shared" si="45"/>
        <v>-28.98535767000001</v>
      </c>
      <c r="M122" s="349">
        <f t="shared" si="45"/>
        <v>-31.881556590000002</v>
      </c>
      <c r="N122" s="96">
        <f t="shared" si="45"/>
        <v>-58.637695426311609</v>
      </c>
      <c r="O122" s="346">
        <f t="shared" si="45"/>
        <v>-41.390994232799898</v>
      </c>
      <c r="P122" s="332">
        <f>P124+P126</f>
        <v>-43.161515515270601</v>
      </c>
      <c r="Q122" s="97">
        <f t="shared" si="45"/>
        <v>-56.477497999999997</v>
      </c>
    </row>
    <row r="123" spans="2:18">
      <c r="B123" s="328" t="s">
        <v>26</v>
      </c>
      <c r="C123" s="348" t="s">
        <v>289</v>
      </c>
      <c r="D123" s="345" t="s">
        <v>9</v>
      </c>
      <c r="E123" s="347"/>
      <c r="F123" s="347"/>
      <c r="G123" s="347"/>
      <c r="H123" s="349">
        <f>H125+H127</f>
        <v>1.1282876899999994</v>
      </c>
      <c r="I123" s="354">
        <f t="shared" ref="I123:Q123" si="46">I125+I127</f>
        <v>0.91124075000000038</v>
      </c>
      <c r="J123" s="354">
        <f t="shared" si="46"/>
        <v>0.85823586000000029</v>
      </c>
      <c r="K123" s="354">
        <f t="shared" si="46"/>
        <v>0.88463805999999967</v>
      </c>
      <c r="L123" s="354">
        <f t="shared" si="46"/>
        <v>1.1266552699999999</v>
      </c>
      <c r="M123" s="354">
        <f t="shared" si="46"/>
        <v>1.2153584800000001</v>
      </c>
      <c r="N123" s="354">
        <f t="shared" si="46"/>
        <v>2.0962863899999999</v>
      </c>
      <c r="O123" s="346">
        <f t="shared" si="46"/>
        <v>2.1937603736328146</v>
      </c>
      <c r="P123" s="332">
        <f t="shared" si="46"/>
        <v>1.8502265407715228</v>
      </c>
      <c r="Q123" s="97">
        <f t="shared" si="46"/>
        <v>2.994424</v>
      </c>
    </row>
    <row r="124" spans="2:18">
      <c r="B124" s="328" t="s">
        <v>437</v>
      </c>
      <c r="C124" s="348" t="s">
        <v>289</v>
      </c>
      <c r="D124" s="345" t="s">
        <v>9</v>
      </c>
      <c r="E124" s="449"/>
      <c r="F124" s="449"/>
      <c r="G124" s="449"/>
      <c r="H124" s="450">
        <v>-1.3087629500000002</v>
      </c>
      <c r="I124" s="450">
        <v>-2.9531867599999999</v>
      </c>
      <c r="J124" s="450">
        <v>-20.340322260000004</v>
      </c>
      <c r="K124" s="450">
        <v>-25.561341489999993</v>
      </c>
      <c r="L124" s="450">
        <v>-28.98535767000001</v>
      </c>
      <c r="M124" s="450">
        <v>-31.881556590000002</v>
      </c>
      <c r="N124" s="450">
        <v>-58.637695426311609</v>
      </c>
      <c r="O124" s="451">
        <v>-41.390994232799898</v>
      </c>
      <c r="P124" s="332">
        <v>-43.161091515270599</v>
      </c>
      <c r="Q124" s="97">
        <v>-56.405999999999999</v>
      </c>
      <c r="R124" s="178"/>
    </row>
    <row r="125" spans="2:18">
      <c r="B125" s="328" t="s">
        <v>438</v>
      </c>
      <c r="C125" s="348" t="s">
        <v>289</v>
      </c>
      <c r="D125" s="345" t="s">
        <v>9</v>
      </c>
      <c r="E125" s="449"/>
      <c r="F125" s="449"/>
      <c r="G125" s="449"/>
      <c r="H125" s="450">
        <v>1.1282876899999994</v>
      </c>
      <c r="I125" s="450">
        <v>0.91124075000000038</v>
      </c>
      <c r="J125" s="450">
        <v>0.85823586000000029</v>
      </c>
      <c r="K125" s="450">
        <v>0.88463805999999967</v>
      </c>
      <c r="L125" s="450">
        <v>1.1266552699999999</v>
      </c>
      <c r="M125" s="450">
        <v>1.2153584800000001</v>
      </c>
      <c r="N125" s="450">
        <v>2.0962863899999999</v>
      </c>
      <c r="O125" s="451">
        <v>2.1937603736328146</v>
      </c>
      <c r="P125" s="332">
        <v>1.8502265407715228</v>
      </c>
      <c r="Q125" s="97">
        <v>2.960928</v>
      </c>
      <c r="R125" s="178"/>
    </row>
    <row r="126" spans="2:18">
      <c r="B126" s="328" t="s">
        <v>439</v>
      </c>
      <c r="C126" s="348" t="s">
        <v>289</v>
      </c>
      <c r="D126" s="345" t="s">
        <v>9</v>
      </c>
      <c r="E126" s="449"/>
      <c r="F126" s="449"/>
      <c r="G126" s="449"/>
      <c r="H126" s="449"/>
      <c r="I126" s="449"/>
      <c r="J126" s="449"/>
      <c r="K126" s="449"/>
      <c r="L126" s="449"/>
      <c r="M126" s="449"/>
      <c r="N126" s="449"/>
      <c r="O126" s="449"/>
      <c r="P126" s="498">
        <v>-4.2400000000000001E-4</v>
      </c>
      <c r="Q126" s="100">
        <v>-7.1498000000000006E-2</v>
      </c>
    </row>
    <row r="127" spans="2:18">
      <c r="B127" s="328" t="s">
        <v>440</v>
      </c>
      <c r="C127" s="348" t="s">
        <v>289</v>
      </c>
      <c r="D127" s="345" t="s">
        <v>9</v>
      </c>
      <c r="E127" s="449"/>
      <c r="F127" s="449"/>
      <c r="G127" s="449"/>
      <c r="H127" s="449"/>
      <c r="I127" s="449"/>
      <c r="J127" s="449"/>
      <c r="K127" s="449"/>
      <c r="L127" s="449"/>
      <c r="M127" s="449"/>
      <c r="N127" s="449"/>
      <c r="O127" s="449"/>
      <c r="P127" s="498">
        <v>0</v>
      </c>
      <c r="Q127" s="100">
        <v>3.3495999999999998E-2</v>
      </c>
    </row>
    <row r="128" spans="2:18">
      <c r="B128" s="335" t="s">
        <v>174</v>
      </c>
      <c r="C128" s="105" t="s">
        <v>123</v>
      </c>
      <c r="D128" s="106" t="s">
        <v>2</v>
      </c>
      <c r="E128" s="355">
        <f t="shared" ref="E128:P128" si="47">IF(E15=0,NA(),E92*1000/E15)</f>
        <v>89.163381239061138</v>
      </c>
      <c r="F128" s="355">
        <f t="shared" si="47"/>
        <v>114.82554650762324</v>
      </c>
      <c r="G128" s="355">
        <f t="shared" si="47"/>
        <v>123.55027739854516</v>
      </c>
      <c r="H128" s="355">
        <f t="shared" si="47"/>
        <v>138.67406460185452</v>
      </c>
      <c r="I128" s="355">
        <f t="shared" si="47"/>
        <v>143.65059366476754</v>
      </c>
      <c r="J128" s="355">
        <f t="shared" si="47"/>
        <v>143.1331646205935</v>
      </c>
      <c r="K128" s="355">
        <f t="shared" si="47"/>
        <v>138.59232015665731</v>
      </c>
      <c r="L128" s="355">
        <f t="shared" si="47"/>
        <v>133.02898439103066</v>
      </c>
      <c r="M128" s="355">
        <f t="shared" si="47"/>
        <v>132.15056986738693</v>
      </c>
      <c r="N128" s="355">
        <f t="shared" si="47"/>
        <v>134.58780826181035</v>
      </c>
      <c r="O128" s="355">
        <f t="shared" si="47"/>
        <v>141.83946566477852</v>
      </c>
      <c r="P128" s="397">
        <f t="shared" si="47"/>
        <v>147.10630203053259</v>
      </c>
      <c r="Q128" s="356">
        <f>IF(Q15=0,NA(),Q92*1000/Q15)</f>
        <v>161.18112546747389</v>
      </c>
    </row>
    <row r="129" spans="2:17">
      <c r="B129" s="335" t="s">
        <v>175</v>
      </c>
      <c r="C129" s="105" t="s">
        <v>123</v>
      </c>
      <c r="D129" s="106" t="s">
        <v>2</v>
      </c>
      <c r="E129" s="355">
        <f>IF(E16=0,NA(),E93*1000/E16)</f>
        <v>39.834880954337599</v>
      </c>
      <c r="F129" s="355">
        <f t="shared" ref="F129:Q129" si="48">IF(F16=0,NA(),F93*1000/F16)</f>
        <v>48.91941253669809</v>
      </c>
      <c r="G129" s="355">
        <f t="shared" si="48"/>
        <v>52.272122825164473</v>
      </c>
      <c r="H129" s="355">
        <f t="shared" si="48"/>
        <v>66.948245503227469</v>
      </c>
      <c r="I129" s="355">
        <f t="shared" si="48"/>
        <v>66.792401638313081</v>
      </c>
      <c r="J129" s="355">
        <f t="shared" si="48"/>
        <v>68.899101746776154</v>
      </c>
      <c r="K129" s="355">
        <f t="shared" si="48"/>
        <v>65.687207667238283</v>
      </c>
      <c r="L129" s="355">
        <f t="shared" si="48"/>
        <v>62.895004382653667</v>
      </c>
      <c r="M129" s="355">
        <f t="shared" si="48"/>
        <v>31.390446807237399</v>
      </c>
      <c r="N129" s="355">
        <f t="shared" si="48"/>
        <v>43.471385283279375</v>
      </c>
      <c r="O129" s="355">
        <f t="shared" si="48"/>
        <v>43.403346034556343</v>
      </c>
      <c r="P129" s="397">
        <f t="shared" si="48"/>
        <v>43.582273579056704</v>
      </c>
      <c r="Q129" s="356">
        <f t="shared" si="48"/>
        <v>45.220247582781155</v>
      </c>
    </row>
    <row r="130" spans="2:17">
      <c r="B130" s="335" t="s">
        <v>176</v>
      </c>
      <c r="C130" s="105" t="s">
        <v>123</v>
      </c>
      <c r="D130" s="106" t="s">
        <v>2</v>
      </c>
      <c r="E130" s="355">
        <f t="shared" ref="E130:Q130" si="49">IF(E17=0,NA(),E94*1000/E17)</f>
        <v>81.780891070753981</v>
      </c>
      <c r="F130" s="355">
        <f t="shared" si="49"/>
        <v>100.31383089670813</v>
      </c>
      <c r="G130" s="355">
        <f t="shared" si="49"/>
        <v>89.21282450790595</v>
      </c>
      <c r="H130" s="355">
        <f t="shared" si="49"/>
        <v>238.82683597074816</v>
      </c>
      <c r="I130" s="355">
        <f t="shared" si="49"/>
        <v>272.28295805300127</v>
      </c>
      <c r="J130" s="355">
        <f t="shared" si="49"/>
        <v>315.72414568157166</v>
      </c>
      <c r="K130" s="355">
        <f t="shared" si="49"/>
        <v>277.82670367022774</v>
      </c>
      <c r="L130" s="355">
        <f t="shared" si="49"/>
        <v>254.18729357023082</v>
      </c>
      <c r="M130" s="355">
        <f t="shared" si="49"/>
        <v>90.944017419798371</v>
      </c>
      <c r="N130" s="355">
        <f t="shared" si="49"/>
        <v>95.95061761802782</v>
      </c>
      <c r="O130" s="355">
        <f t="shared" si="49"/>
        <v>103.88538522353687</v>
      </c>
      <c r="P130" s="397">
        <f t="shared" si="49"/>
        <v>111.48891016657231</v>
      </c>
      <c r="Q130" s="356">
        <f t="shared" si="49"/>
        <v>115.19045393124891</v>
      </c>
    </row>
    <row r="131" spans="2:17">
      <c r="B131" s="335" t="s">
        <v>177</v>
      </c>
      <c r="C131" s="105" t="s">
        <v>123</v>
      </c>
      <c r="D131" s="106" t="s">
        <v>2</v>
      </c>
      <c r="E131" s="355">
        <f t="shared" ref="E131:Q131" si="50">IF(E18=0,NA(),E95*1000/E18)</f>
        <v>150.60065560724252</v>
      </c>
      <c r="F131" s="355">
        <f t="shared" si="50"/>
        <v>185.61144682117285</v>
      </c>
      <c r="G131" s="355">
        <f t="shared" si="50"/>
        <v>198.24449813033323</v>
      </c>
      <c r="H131" s="355">
        <f t="shared" si="50"/>
        <v>201.49861408696748</v>
      </c>
      <c r="I131" s="355">
        <f t="shared" si="50"/>
        <v>201.04756987914627</v>
      </c>
      <c r="J131" s="355">
        <f t="shared" si="50"/>
        <v>202.3707223606967</v>
      </c>
      <c r="K131" s="355">
        <f t="shared" si="50"/>
        <v>198.60618846084762</v>
      </c>
      <c r="L131" s="355">
        <f t="shared" si="50"/>
        <v>188.66258391834677</v>
      </c>
      <c r="M131" s="355">
        <f t="shared" si="50"/>
        <v>153.27115730968541</v>
      </c>
      <c r="N131" s="355">
        <f t="shared" si="50"/>
        <v>150.34956110197345</v>
      </c>
      <c r="O131" s="355">
        <f t="shared" si="50"/>
        <v>154.43106767172731</v>
      </c>
      <c r="P131" s="397">
        <f t="shared" si="50"/>
        <v>155.11623083096273</v>
      </c>
      <c r="Q131" s="356">
        <f t="shared" si="50"/>
        <v>167.98643664264961</v>
      </c>
    </row>
    <row r="132" spans="2:17">
      <c r="B132" s="335" t="s">
        <v>178</v>
      </c>
      <c r="C132" s="105" t="s">
        <v>123</v>
      </c>
      <c r="D132" s="106" t="s">
        <v>2</v>
      </c>
      <c r="E132" s="355">
        <f t="shared" ref="E132:Q132" si="51">IF(E22=0,NA(),E96*1000/E22)</f>
        <v>242.24684545478556</v>
      </c>
      <c r="F132" s="355">
        <f t="shared" si="51"/>
        <v>303.55635346414539</v>
      </c>
      <c r="G132" s="355">
        <f t="shared" si="51"/>
        <v>329.12807535170032</v>
      </c>
      <c r="H132" s="355">
        <f t="shared" si="51"/>
        <v>351.66375166097612</v>
      </c>
      <c r="I132" s="355">
        <f t="shared" si="51"/>
        <v>359.16627418278904</v>
      </c>
      <c r="J132" s="355">
        <f t="shared" si="51"/>
        <v>356.73636982912853</v>
      </c>
      <c r="K132" s="355">
        <f t="shared" si="51"/>
        <v>343.08877442864571</v>
      </c>
      <c r="L132" s="355">
        <f t="shared" si="51"/>
        <v>327.77687583931754</v>
      </c>
      <c r="M132" s="355">
        <f t="shared" si="51"/>
        <v>255.29252201034771</v>
      </c>
      <c r="N132" s="355">
        <f t="shared" si="51"/>
        <v>289.08691961202214</v>
      </c>
      <c r="O132" s="355">
        <f t="shared" si="51"/>
        <v>313.85336693933084</v>
      </c>
      <c r="P132" s="397">
        <f t="shared" si="51"/>
        <v>327.19348175473704</v>
      </c>
      <c r="Q132" s="356">
        <f t="shared" si="51"/>
        <v>358.55495290674833</v>
      </c>
    </row>
    <row r="133" spans="2:17">
      <c r="B133" s="489" t="s">
        <v>179</v>
      </c>
      <c r="C133" s="490" t="s">
        <v>123</v>
      </c>
      <c r="D133" s="491" t="s">
        <v>2</v>
      </c>
      <c r="E133" s="355">
        <f>IF(E23=0,NA(),E97*1000/E32)</f>
        <v>6.4498854794864844</v>
      </c>
      <c r="F133" s="355">
        <f t="shared" ref="F133:Q133" si="52">IF(F23=0,NA(),F97*1000/F32)</f>
        <v>8.1942516217293839</v>
      </c>
      <c r="G133" s="355">
        <f t="shared" si="52"/>
        <v>8.7145450366996648</v>
      </c>
      <c r="H133" s="355">
        <f t="shared" si="52"/>
        <v>15.243540737517664</v>
      </c>
      <c r="I133" s="355">
        <f t="shared" si="52"/>
        <v>15.33027455520994</v>
      </c>
      <c r="J133" s="355">
        <f t="shared" si="52"/>
        <v>14.904179931975095</v>
      </c>
      <c r="K133" s="355">
        <f t="shared" si="52"/>
        <v>14.5929764806466</v>
      </c>
      <c r="L133" s="355">
        <f t="shared" si="52"/>
        <v>13.995733922037081</v>
      </c>
      <c r="M133" s="355">
        <f t="shared" si="52"/>
        <v>11.576739781147664</v>
      </c>
      <c r="N133" s="355">
        <f t="shared" si="52"/>
        <v>14.739267406916611</v>
      </c>
      <c r="O133" s="355">
        <f t="shared" si="52"/>
        <v>12.889422197350468</v>
      </c>
      <c r="P133" s="397">
        <f t="shared" si="52"/>
        <v>12.724140148701631</v>
      </c>
      <c r="Q133" s="356">
        <f t="shared" si="52"/>
        <v>13.536819849254831</v>
      </c>
    </row>
    <row r="134" spans="2:17" ht="15" thickBot="1">
      <c r="B134" s="338" t="s">
        <v>475</v>
      </c>
      <c r="C134" s="62" t="s">
        <v>123</v>
      </c>
      <c r="D134" s="63" t="s">
        <v>2</v>
      </c>
      <c r="E134" s="357">
        <f>IF(E32=0,NA(),E98*1000/E33)</f>
        <v>0</v>
      </c>
      <c r="F134" s="357">
        <f t="shared" ref="F134:Q134" si="53">IF(F32=0,NA(),F98*1000/F33)</f>
        <v>170.86988286442227</v>
      </c>
      <c r="G134" s="357">
        <f t="shared" si="53"/>
        <v>185.52627361243162</v>
      </c>
      <c r="H134" s="357">
        <f t="shared" si="53"/>
        <v>345.16238383396194</v>
      </c>
      <c r="I134" s="357">
        <f t="shared" si="53"/>
        <v>332.17273979584132</v>
      </c>
      <c r="J134" s="357">
        <f t="shared" si="53"/>
        <v>293.89589083813229</v>
      </c>
      <c r="K134" s="357">
        <f t="shared" si="53"/>
        <v>317.23561914502454</v>
      </c>
      <c r="L134" s="357">
        <f t="shared" si="53"/>
        <v>286.89028840282384</v>
      </c>
      <c r="M134" s="357">
        <f t="shared" si="53"/>
        <v>219.83380532159214</v>
      </c>
      <c r="N134" s="357">
        <f t="shared" si="53"/>
        <v>237.62281412784077</v>
      </c>
      <c r="O134" s="357">
        <f t="shared" si="53"/>
        <v>305.67610370962706</v>
      </c>
      <c r="P134" s="398">
        <f t="shared" si="53"/>
        <v>348.49859771711237</v>
      </c>
      <c r="Q134" s="358">
        <f t="shared" si="53"/>
        <v>467.97603104431022</v>
      </c>
    </row>
    <row r="135" spans="2:17">
      <c r="B135" s="2"/>
      <c r="Q135" s="178"/>
    </row>
    <row r="136" spans="2:17" ht="15" thickBot="1">
      <c r="Q136" s="178"/>
    </row>
    <row r="137" spans="2:17" ht="18">
      <c r="B137" s="309" t="s">
        <v>7</v>
      </c>
      <c r="C137" s="341"/>
      <c r="D137" s="39" t="s">
        <v>0</v>
      </c>
      <c r="E137" s="310">
        <v>2009</v>
      </c>
      <c r="F137" s="310">
        <v>2010</v>
      </c>
      <c r="G137" s="310">
        <v>2011</v>
      </c>
      <c r="H137" s="310">
        <v>2012</v>
      </c>
      <c r="I137" s="310">
        <v>2013</v>
      </c>
      <c r="J137" s="310">
        <v>2014</v>
      </c>
      <c r="K137" s="310">
        <v>2015</v>
      </c>
      <c r="L137" s="310">
        <v>2016</v>
      </c>
      <c r="M137" s="310">
        <v>2017</v>
      </c>
      <c r="N137" s="310">
        <v>2018</v>
      </c>
      <c r="O137" s="310">
        <v>2019</v>
      </c>
      <c r="P137" s="311">
        <v>2020</v>
      </c>
      <c r="Q137" s="312">
        <v>2021</v>
      </c>
    </row>
    <row r="138" spans="2:17">
      <c r="B138" s="313" t="s">
        <v>6</v>
      </c>
      <c r="C138" s="342"/>
      <c r="D138" s="43"/>
      <c r="E138" s="327">
        <v>2010</v>
      </c>
      <c r="F138" s="327">
        <v>2011</v>
      </c>
      <c r="G138" s="327">
        <v>2012</v>
      </c>
      <c r="H138" s="327">
        <v>2013</v>
      </c>
      <c r="I138" s="327">
        <v>2014</v>
      </c>
      <c r="J138" s="327">
        <v>2015</v>
      </c>
      <c r="K138" s="327">
        <v>2016</v>
      </c>
      <c r="L138" s="327">
        <v>2017</v>
      </c>
      <c r="M138" s="327">
        <v>2018</v>
      </c>
      <c r="N138" s="327">
        <v>2019</v>
      </c>
      <c r="O138" s="315">
        <v>2020</v>
      </c>
      <c r="P138" s="316">
        <v>2021</v>
      </c>
      <c r="Q138" s="317">
        <v>2022</v>
      </c>
    </row>
    <row r="139" spans="2:17" ht="30" customHeight="1">
      <c r="B139" s="608" t="s">
        <v>341</v>
      </c>
      <c r="C139" s="609"/>
      <c r="D139" s="609"/>
      <c r="E139" s="609"/>
      <c r="F139" s="609"/>
      <c r="G139" s="609"/>
      <c r="H139" s="609"/>
      <c r="I139" s="609"/>
      <c r="J139" s="609"/>
      <c r="K139" s="609"/>
      <c r="L139" s="609"/>
      <c r="M139" s="609"/>
      <c r="N139" s="609"/>
      <c r="O139" s="609"/>
      <c r="P139" s="610"/>
      <c r="Q139" s="611"/>
    </row>
    <row r="140" spans="2:17">
      <c r="B140" s="343" t="s">
        <v>445</v>
      </c>
      <c r="C140" s="359" t="s">
        <v>141</v>
      </c>
      <c r="D140" s="345" t="s">
        <v>3</v>
      </c>
      <c r="E140" s="360"/>
      <c r="F140" s="360"/>
      <c r="G140" s="360"/>
      <c r="H140" s="69"/>
      <c r="I140" s="361">
        <v>1.189869408388881E-3</v>
      </c>
      <c r="J140" s="361">
        <v>1.189869408388881E-3</v>
      </c>
      <c r="K140" s="362">
        <v>1.189869408388881E-3</v>
      </c>
      <c r="L140" s="362">
        <v>1.2999999999999999E-3</v>
      </c>
      <c r="M140" s="362">
        <v>1.9E-3</v>
      </c>
      <c r="N140" s="362">
        <v>2.3291009290197467E-3</v>
      </c>
      <c r="O140" s="361">
        <v>2.2657466810603244E-3</v>
      </c>
      <c r="P140" s="484">
        <v>1.2949859973773235E-2</v>
      </c>
      <c r="Q140" s="363">
        <v>1.5088766935460136E-2</v>
      </c>
    </row>
    <row r="141" spans="2:17">
      <c r="B141" s="328" t="s">
        <v>446</v>
      </c>
      <c r="C141" s="359" t="s">
        <v>141</v>
      </c>
      <c r="D141" s="345" t="s">
        <v>3</v>
      </c>
      <c r="E141" s="347"/>
      <c r="F141" s="347"/>
      <c r="G141" s="347"/>
      <c r="H141" s="350"/>
      <c r="I141" s="361">
        <v>2.184367115387284E-4</v>
      </c>
      <c r="J141" s="361">
        <v>1E-4</v>
      </c>
      <c r="K141" s="362">
        <v>1E-4</v>
      </c>
      <c r="L141" s="362">
        <v>1E-4</v>
      </c>
      <c r="M141" s="362">
        <v>4.0000000000000002E-4</v>
      </c>
      <c r="N141" s="362">
        <v>6.4611763858380582E-4</v>
      </c>
      <c r="O141" s="361">
        <v>6.9590352534706847E-4</v>
      </c>
      <c r="P141" s="484">
        <v>3.2865209645348726E-4</v>
      </c>
      <c r="Q141" s="363">
        <v>5.1978583890083046E-4</v>
      </c>
    </row>
    <row r="142" spans="2:17">
      <c r="B142" s="328" t="s">
        <v>451</v>
      </c>
      <c r="C142" s="359" t="s">
        <v>141</v>
      </c>
      <c r="D142" s="345" t="s">
        <v>3</v>
      </c>
      <c r="E142" s="347"/>
      <c r="F142" s="463"/>
      <c r="G142" s="463"/>
      <c r="H142" s="464"/>
      <c r="I142" s="465">
        <v>0.18612474707624221</v>
      </c>
      <c r="J142" s="465">
        <v>0.36299999999999999</v>
      </c>
      <c r="K142" s="466">
        <v>0.48880000000000001</v>
      </c>
      <c r="L142" s="466">
        <v>0.61019999999999996</v>
      </c>
      <c r="M142" s="466">
        <v>0.56820000000000004</v>
      </c>
      <c r="N142" s="466">
        <v>0.59203684935048961</v>
      </c>
      <c r="O142" s="465">
        <v>0.5807727043850105</v>
      </c>
      <c r="P142" s="485">
        <v>0.62470992426530292</v>
      </c>
      <c r="Q142" s="468">
        <v>0.63421491849651102</v>
      </c>
    </row>
    <row r="143" spans="2:17">
      <c r="B143" s="328" t="s">
        <v>450</v>
      </c>
      <c r="C143" s="359" t="s">
        <v>141</v>
      </c>
      <c r="D143" s="345" t="s">
        <v>3</v>
      </c>
      <c r="E143" s="347"/>
      <c r="F143" s="463"/>
      <c r="G143" s="463"/>
      <c r="H143" s="464"/>
      <c r="I143" s="465">
        <v>1.1961251083212113E-2</v>
      </c>
      <c r="J143" s="465">
        <v>2.3099999999999999E-2</v>
      </c>
      <c r="K143" s="466">
        <v>1.54E-2</v>
      </c>
      <c r="L143" s="466">
        <v>1.7899999999999999E-2</v>
      </c>
      <c r="M143" s="466">
        <v>1.8200000000000001E-2</v>
      </c>
      <c r="N143" s="466">
        <v>3.3689814807634111E-2</v>
      </c>
      <c r="O143" s="465">
        <v>3.671923285259087E-2</v>
      </c>
      <c r="P143" s="485">
        <v>5.81252614397815E-2</v>
      </c>
      <c r="Q143" s="468">
        <v>2.0989948723197916E-2</v>
      </c>
    </row>
    <row r="144" spans="2:17">
      <c r="B144" s="328" t="s">
        <v>452</v>
      </c>
      <c r="C144" s="359" t="s">
        <v>141</v>
      </c>
      <c r="D144" s="345" t="s">
        <v>3</v>
      </c>
      <c r="E144" s="347"/>
      <c r="F144" s="463"/>
      <c r="G144" s="463"/>
      <c r="H144" s="463"/>
      <c r="I144" s="463"/>
      <c r="J144" s="463"/>
      <c r="K144" s="463"/>
      <c r="L144" s="463"/>
      <c r="M144" s="463"/>
      <c r="N144" s="469"/>
      <c r="O144" s="467">
        <v>2.7823003484093748E-3</v>
      </c>
      <c r="P144" s="485">
        <v>3.8245845210696148E-3</v>
      </c>
      <c r="Q144" s="468">
        <v>6.7679864909409443E-2</v>
      </c>
    </row>
    <row r="145" spans="1:21">
      <c r="B145" s="328" t="s">
        <v>453</v>
      </c>
      <c r="C145" s="364" t="s">
        <v>141</v>
      </c>
      <c r="D145" s="345" t="s">
        <v>11</v>
      </c>
      <c r="E145" s="347"/>
      <c r="F145" s="347"/>
      <c r="G145" s="347"/>
      <c r="H145" s="347"/>
      <c r="I145" s="347"/>
      <c r="J145" s="347"/>
      <c r="K145" s="347"/>
      <c r="L145" s="347"/>
      <c r="M145" s="347"/>
      <c r="N145" s="365">
        <v>3673.062085</v>
      </c>
      <c r="O145" s="366">
        <v>3841.5096830000002</v>
      </c>
      <c r="P145" s="486">
        <v>3521.5515399999999</v>
      </c>
      <c r="Q145" s="367">
        <v>3548.9020540000001</v>
      </c>
      <c r="R145" s="94"/>
    </row>
    <row r="146" spans="1:21" ht="15" thickBot="1">
      <c r="B146" s="368" t="s">
        <v>454</v>
      </c>
      <c r="C146" s="369" t="s">
        <v>141</v>
      </c>
      <c r="D146" s="77" t="s">
        <v>11</v>
      </c>
      <c r="E146" s="304"/>
      <c r="F146" s="304"/>
      <c r="G146" s="304"/>
      <c r="H146" s="370"/>
      <c r="I146" s="306"/>
      <c r="J146" s="306"/>
      <c r="K146" s="306"/>
      <c r="L146" s="306"/>
      <c r="M146" s="306"/>
      <c r="N146" s="371">
        <v>14.886461000000001</v>
      </c>
      <c r="O146" s="372">
        <v>11.972042</v>
      </c>
      <c r="P146" s="487">
        <v>88.835673</v>
      </c>
      <c r="Q146" s="373">
        <v>81.494493999999904</v>
      </c>
      <c r="R146" s="94"/>
    </row>
    <row r="147" spans="1:21" ht="15" thickBot="1"/>
    <row r="148" spans="1:21" ht="18">
      <c r="B148" s="309" t="s">
        <v>7</v>
      </c>
      <c r="C148" s="341"/>
      <c r="D148" s="39" t="s">
        <v>0</v>
      </c>
      <c r="E148" s="310">
        <v>2009</v>
      </c>
      <c r="F148" s="310">
        <v>2010</v>
      </c>
      <c r="G148" s="310">
        <v>2011</v>
      </c>
      <c r="H148" s="310">
        <v>2012</v>
      </c>
      <c r="I148" s="310">
        <v>2013</v>
      </c>
      <c r="J148" s="310">
        <v>2014</v>
      </c>
      <c r="K148" s="310">
        <v>2015</v>
      </c>
      <c r="L148" s="310">
        <v>2016</v>
      </c>
      <c r="M148" s="310">
        <v>2017</v>
      </c>
      <c r="N148" s="310">
        <v>2018</v>
      </c>
      <c r="O148" s="310">
        <v>2019</v>
      </c>
      <c r="P148" s="311">
        <v>2020</v>
      </c>
      <c r="Q148" s="312">
        <v>2021</v>
      </c>
    </row>
    <row r="149" spans="1:21">
      <c r="B149" s="313" t="s">
        <v>6</v>
      </c>
      <c r="C149" s="342"/>
      <c r="D149" s="43"/>
      <c r="E149" s="327">
        <v>2010</v>
      </c>
      <c r="F149" s="327">
        <v>2011</v>
      </c>
      <c r="G149" s="327">
        <v>2012</v>
      </c>
      <c r="H149" s="327">
        <v>2013</v>
      </c>
      <c r="I149" s="327">
        <v>2014</v>
      </c>
      <c r="J149" s="327">
        <v>2015</v>
      </c>
      <c r="K149" s="327">
        <v>2016</v>
      </c>
      <c r="L149" s="327">
        <v>2017</v>
      </c>
      <c r="M149" s="327">
        <v>2018</v>
      </c>
      <c r="N149" s="327">
        <v>2019</v>
      </c>
      <c r="O149" s="315">
        <v>2020</v>
      </c>
      <c r="P149" s="316">
        <v>2021</v>
      </c>
      <c r="Q149" s="317">
        <v>2022</v>
      </c>
    </row>
    <row r="150" spans="1:21" ht="30" customHeight="1">
      <c r="B150" s="608" t="s">
        <v>342</v>
      </c>
      <c r="C150" s="609"/>
      <c r="D150" s="609"/>
      <c r="E150" s="609"/>
      <c r="F150" s="609"/>
      <c r="G150" s="609"/>
      <c r="H150" s="609"/>
      <c r="I150" s="609"/>
      <c r="J150" s="609"/>
      <c r="K150" s="609"/>
      <c r="L150" s="609"/>
      <c r="M150" s="609"/>
      <c r="N150" s="609"/>
      <c r="O150" s="609"/>
      <c r="P150" s="610"/>
      <c r="Q150" s="611"/>
    </row>
    <row r="151" spans="1:21">
      <c r="B151" s="343" t="s">
        <v>447</v>
      </c>
      <c r="C151" s="359" t="s">
        <v>141</v>
      </c>
      <c r="D151" s="345" t="s">
        <v>3</v>
      </c>
      <c r="E151" s="360"/>
      <c r="F151" s="360"/>
      <c r="G151" s="360"/>
      <c r="H151" s="360"/>
      <c r="I151" s="360"/>
      <c r="J151" s="360"/>
      <c r="K151" s="360"/>
      <c r="L151" s="360"/>
      <c r="M151" s="360"/>
      <c r="N151" s="360"/>
      <c r="O151" s="360"/>
      <c r="P151" s="399">
        <v>0</v>
      </c>
      <c r="Q151" s="363">
        <v>4.2622023238093082E-2</v>
      </c>
    </row>
    <row r="152" spans="1:21">
      <c r="B152" s="328" t="s">
        <v>448</v>
      </c>
      <c r="C152" s="359" t="s">
        <v>141</v>
      </c>
      <c r="D152" s="345" t="s">
        <v>3</v>
      </c>
      <c r="E152" s="347"/>
      <c r="F152" s="347"/>
      <c r="G152" s="347"/>
      <c r="H152" s="347"/>
      <c r="I152" s="347"/>
      <c r="J152" s="347"/>
      <c r="K152" s="347"/>
      <c r="L152" s="347"/>
      <c r="M152" s="347"/>
      <c r="N152" s="347"/>
      <c r="O152" s="347"/>
      <c r="P152" s="399">
        <v>0</v>
      </c>
      <c r="Q152" s="363">
        <v>0</v>
      </c>
    </row>
    <row r="153" spans="1:21">
      <c r="B153" s="328" t="s">
        <v>449</v>
      </c>
      <c r="C153" s="359" t="s">
        <v>141</v>
      </c>
      <c r="D153" s="345" t="s">
        <v>3</v>
      </c>
      <c r="E153" s="347"/>
      <c r="F153" s="347"/>
      <c r="G153" s="347"/>
      <c r="H153" s="347"/>
      <c r="I153" s="347"/>
      <c r="J153" s="347"/>
      <c r="K153" s="347"/>
      <c r="L153" s="347"/>
      <c r="M153" s="347"/>
      <c r="N153" s="347"/>
      <c r="O153" s="347"/>
      <c r="P153" s="467">
        <v>3.4524861294883157E-2</v>
      </c>
      <c r="Q153" s="468">
        <v>0.44422844577613291</v>
      </c>
    </row>
    <row r="154" spans="1:21">
      <c r="B154" s="328" t="s">
        <v>455</v>
      </c>
      <c r="C154" s="359" t="s">
        <v>141</v>
      </c>
      <c r="D154" s="345" t="s">
        <v>3</v>
      </c>
      <c r="E154" s="347"/>
      <c r="F154" s="347"/>
      <c r="G154" s="347"/>
      <c r="H154" s="347"/>
      <c r="I154" s="347"/>
      <c r="J154" s="347"/>
      <c r="K154" s="347"/>
      <c r="L154" s="347"/>
      <c r="M154" s="347"/>
      <c r="N154" s="347"/>
      <c r="O154" s="347"/>
      <c r="P154" s="467">
        <v>0</v>
      </c>
      <c r="Q154" s="468">
        <v>0</v>
      </c>
    </row>
    <row r="155" spans="1:21">
      <c r="B155" s="328" t="s">
        <v>482</v>
      </c>
      <c r="C155" s="359" t="s">
        <v>141</v>
      </c>
      <c r="D155" s="345" t="s">
        <v>3</v>
      </c>
      <c r="E155" s="347"/>
      <c r="F155" s="347"/>
      <c r="G155" s="347"/>
      <c r="H155" s="347"/>
      <c r="I155" s="347"/>
      <c r="J155" s="347"/>
      <c r="K155" s="347"/>
      <c r="L155" s="347"/>
      <c r="M155" s="347"/>
      <c r="N155" s="347"/>
      <c r="O155" s="347"/>
      <c r="P155" s="467">
        <v>0</v>
      </c>
      <c r="Q155" s="468">
        <v>2.3776609841189268E-2</v>
      </c>
    </row>
    <row r="156" spans="1:21">
      <c r="B156" s="328" t="s">
        <v>456</v>
      </c>
      <c r="C156" s="364" t="s">
        <v>141</v>
      </c>
      <c r="D156" s="345" t="s">
        <v>11</v>
      </c>
      <c r="E156" s="347"/>
      <c r="F156" s="347"/>
      <c r="G156" s="347"/>
      <c r="H156" s="347"/>
      <c r="I156" s="347"/>
      <c r="J156" s="347"/>
      <c r="K156" s="347"/>
      <c r="L156" s="347"/>
      <c r="M156" s="347"/>
      <c r="N156" s="347"/>
      <c r="O156" s="347"/>
      <c r="P156" s="400">
        <v>3.0594E-2</v>
      </c>
      <c r="Q156" s="367">
        <v>2.9574039999999999</v>
      </c>
      <c r="R156" s="460"/>
      <c r="S156" s="460"/>
      <c r="T156" s="460"/>
      <c r="U156" s="178"/>
    </row>
    <row r="157" spans="1:21" ht="15" thickBot="1">
      <c r="B157" s="368" t="s">
        <v>457</v>
      </c>
      <c r="C157" s="369" t="s">
        <v>141</v>
      </c>
      <c r="D157" s="77" t="s">
        <v>11</v>
      </c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401">
        <v>0</v>
      </c>
      <c r="Q157" s="373">
        <v>0.31526100000000001</v>
      </c>
      <c r="R157" s="460"/>
      <c r="S157" s="460"/>
      <c r="T157" s="460"/>
      <c r="U157" s="178"/>
    </row>
    <row r="158" spans="1:21" s="1" customFormat="1">
      <c r="A158" s="2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1:21" ht="15" thickBot="1"/>
    <row r="160" spans="1:21" ht="18">
      <c r="B160" s="309" t="s">
        <v>7</v>
      </c>
      <c r="C160" s="341"/>
      <c r="D160" s="39" t="s">
        <v>0</v>
      </c>
      <c r="E160" s="310">
        <v>2009</v>
      </c>
      <c r="F160" s="310">
        <v>2010</v>
      </c>
      <c r="G160" s="310">
        <v>2011</v>
      </c>
      <c r="H160" s="310">
        <v>2012</v>
      </c>
      <c r="I160" s="310">
        <v>2013</v>
      </c>
      <c r="J160" s="310">
        <v>2014</v>
      </c>
      <c r="K160" s="310">
        <v>2015</v>
      </c>
      <c r="L160" s="310">
        <v>2016</v>
      </c>
      <c r="M160" s="310">
        <v>2017</v>
      </c>
      <c r="N160" s="310">
        <v>2018</v>
      </c>
      <c r="O160" s="310">
        <v>2019</v>
      </c>
      <c r="P160" s="311">
        <v>2020</v>
      </c>
      <c r="Q160" s="312">
        <v>2021</v>
      </c>
    </row>
    <row r="161" spans="2:17">
      <c r="B161" s="313" t="s">
        <v>6</v>
      </c>
      <c r="C161" s="374"/>
      <c r="D161" s="85"/>
      <c r="E161" s="315">
        <v>2010</v>
      </c>
      <c r="F161" s="315">
        <v>2011</v>
      </c>
      <c r="G161" s="315">
        <v>2012</v>
      </c>
      <c r="H161" s="315">
        <v>2013</v>
      </c>
      <c r="I161" s="315">
        <v>2014</v>
      </c>
      <c r="J161" s="315">
        <v>2015</v>
      </c>
      <c r="K161" s="315">
        <v>2016</v>
      </c>
      <c r="L161" s="315">
        <v>2017</v>
      </c>
      <c r="M161" s="315">
        <v>2018</v>
      </c>
      <c r="N161" s="315">
        <v>2019</v>
      </c>
      <c r="O161" s="315">
        <v>2020</v>
      </c>
      <c r="P161" s="316">
        <v>2021</v>
      </c>
      <c r="Q161" s="317">
        <v>2022</v>
      </c>
    </row>
    <row r="162" spans="2:17" ht="30.75" customHeight="1">
      <c r="B162" s="608" t="s">
        <v>343</v>
      </c>
      <c r="C162" s="609"/>
      <c r="D162" s="609"/>
      <c r="E162" s="609"/>
      <c r="F162" s="609"/>
      <c r="G162" s="609"/>
      <c r="H162" s="609"/>
      <c r="I162" s="609"/>
      <c r="J162" s="609"/>
      <c r="K162" s="609"/>
      <c r="L162" s="609"/>
      <c r="M162" s="609"/>
      <c r="N162" s="609"/>
      <c r="O162" s="609"/>
      <c r="P162" s="610"/>
      <c r="Q162" s="611"/>
    </row>
    <row r="163" spans="2:17">
      <c r="B163" s="328" t="s">
        <v>28</v>
      </c>
      <c r="C163" s="375" t="s">
        <v>289</v>
      </c>
      <c r="D163" s="376" t="s">
        <v>1</v>
      </c>
      <c r="E163" s="377"/>
      <c r="F163" s="377"/>
      <c r="G163" s="377"/>
      <c r="H163" s="378"/>
      <c r="I163" s="379"/>
      <c r="J163" s="380">
        <v>123</v>
      </c>
      <c r="K163" s="381">
        <v>186</v>
      </c>
      <c r="L163" s="381">
        <v>158</v>
      </c>
      <c r="M163" s="382"/>
      <c r="N163" s="381">
        <f t="shared" ref="N163" si="54">+N164</f>
        <v>235</v>
      </c>
      <c r="O163" s="383">
        <f>+O164-N164</f>
        <v>522</v>
      </c>
      <c r="P163" s="402">
        <f t="shared" ref="P163:Q163" si="55">+P164-O164</f>
        <v>452</v>
      </c>
      <c r="Q163" s="496">
        <f t="shared" si="55"/>
        <v>772</v>
      </c>
    </row>
    <row r="164" spans="2:17" ht="29.5" thickBot="1">
      <c r="B164" s="384" t="s">
        <v>339</v>
      </c>
      <c r="C164" s="76" t="s">
        <v>289</v>
      </c>
      <c r="D164" s="385" t="s">
        <v>1</v>
      </c>
      <c r="E164" s="386"/>
      <c r="F164" s="386"/>
      <c r="G164" s="386"/>
      <c r="H164" s="386"/>
      <c r="I164" s="386"/>
      <c r="J164" s="386"/>
      <c r="K164" s="386"/>
      <c r="L164" s="386"/>
      <c r="M164" s="386"/>
      <c r="N164" s="495">
        <v>235</v>
      </c>
      <c r="O164" s="387">
        <v>757</v>
      </c>
      <c r="P164" s="488">
        <v>1209</v>
      </c>
      <c r="Q164" s="499">
        <v>1981</v>
      </c>
    </row>
    <row r="165" spans="2:17" ht="15" thickBot="1"/>
    <row r="166" spans="2:17" ht="18">
      <c r="B166" s="309" t="s">
        <v>7</v>
      </c>
      <c r="C166" s="341"/>
      <c r="D166" s="39" t="s">
        <v>0</v>
      </c>
      <c r="E166" s="310">
        <v>2009</v>
      </c>
      <c r="F166" s="310">
        <v>2010</v>
      </c>
      <c r="G166" s="310">
        <v>2011</v>
      </c>
      <c r="H166" s="310">
        <v>2012</v>
      </c>
      <c r="I166" s="310">
        <v>2013</v>
      </c>
      <c r="J166" s="310">
        <v>2014</v>
      </c>
      <c r="K166" s="310">
        <v>2015</v>
      </c>
      <c r="L166" s="310">
        <v>2016</v>
      </c>
      <c r="M166" s="310">
        <v>2017</v>
      </c>
      <c r="N166" s="310">
        <v>2018</v>
      </c>
      <c r="O166" s="310">
        <v>2019</v>
      </c>
      <c r="P166" s="311">
        <v>2020</v>
      </c>
      <c r="Q166" s="312">
        <v>2021</v>
      </c>
    </row>
    <row r="167" spans="2:17">
      <c r="B167" s="313" t="s">
        <v>6</v>
      </c>
      <c r="C167" s="374"/>
      <c r="D167" s="85"/>
      <c r="E167" s="315">
        <v>2010</v>
      </c>
      <c r="F167" s="315">
        <v>2011</v>
      </c>
      <c r="G167" s="315">
        <v>2012</v>
      </c>
      <c r="H167" s="315">
        <v>2013</v>
      </c>
      <c r="I167" s="315">
        <v>2014</v>
      </c>
      <c r="J167" s="315">
        <v>2015</v>
      </c>
      <c r="K167" s="315">
        <v>2016</v>
      </c>
      <c r="L167" s="315">
        <v>2017</v>
      </c>
      <c r="M167" s="315">
        <v>2018</v>
      </c>
      <c r="N167" s="315">
        <v>2019</v>
      </c>
      <c r="O167" s="315">
        <v>2020</v>
      </c>
      <c r="P167" s="316">
        <v>2021</v>
      </c>
      <c r="Q167" s="317">
        <v>2022</v>
      </c>
    </row>
    <row r="168" spans="2:17" ht="24" customHeight="1">
      <c r="B168" s="608" t="s">
        <v>344</v>
      </c>
      <c r="C168" s="609"/>
      <c r="D168" s="609"/>
      <c r="E168" s="609"/>
      <c r="F168" s="609"/>
      <c r="G168" s="609"/>
      <c r="H168" s="609"/>
      <c r="I168" s="609"/>
      <c r="J168" s="609"/>
      <c r="K168" s="609"/>
      <c r="L168" s="609"/>
      <c r="M168" s="609"/>
      <c r="N168" s="609"/>
      <c r="O168" s="609"/>
      <c r="P168" s="610"/>
      <c r="Q168" s="611"/>
    </row>
    <row r="169" spans="2:17" ht="15" thickBot="1">
      <c r="B169" s="368" t="s">
        <v>28</v>
      </c>
      <c r="C169" s="76" t="s">
        <v>289</v>
      </c>
      <c r="D169" s="385" t="s">
        <v>1</v>
      </c>
      <c r="E169" s="388"/>
      <c r="F169" s="388"/>
      <c r="G169" s="388"/>
      <c r="H169" s="389"/>
      <c r="I169" s="389"/>
      <c r="J169" s="389"/>
      <c r="K169" s="389"/>
      <c r="L169" s="389"/>
      <c r="M169" s="389"/>
      <c r="N169" s="389"/>
      <c r="O169" s="389"/>
      <c r="P169" s="403">
        <v>0</v>
      </c>
      <c r="Q169" s="500">
        <v>6</v>
      </c>
    </row>
  </sheetData>
  <sheetProtection algorithmName="SHA-512" hashValue="K2q9ZRHBWawHmy6tIHx3oD6Hd89qbsoK4VOnJNr7vJDijpKtvJjzjFecSoZXVjyOfMAIDGRT28N6Kniy1e2Llg==" saltValue="T9U1D5dhM/iF8oIDHExSEQ==" spinCount="100000" sheet="1" scenarios="1"/>
  <mergeCells count="10">
    <mergeCell ref="B168:Q168"/>
    <mergeCell ref="B14:Q14"/>
    <mergeCell ref="B7:Q7"/>
    <mergeCell ref="B91:Q91"/>
    <mergeCell ref="B139:Q139"/>
    <mergeCell ref="B162:Q162"/>
    <mergeCell ref="B150:Q150"/>
    <mergeCell ref="P34:P35"/>
    <mergeCell ref="P56:P57"/>
    <mergeCell ref="P78:P79"/>
  </mergeCells>
  <conditionalFormatting sqref="C8:C9 C163 C140:C146 C81:C86 C116:C123 C15 C128:C134">
    <cfRule type="cellIs" dxfId="206" priority="94" operator="equal">
      <formula>"SYDEREP"</formula>
    </cfRule>
    <cfRule type="cellIs" dxfId="205" priority="95" operator="equal">
      <formula>"Calcul"</formula>
    </cfRule>
    <cfRule type="cellIs" dxfId="204" priority="96" operator="equal">
      <formula>"EO"</formula>
    </cfRule>
  </conditionalFormatting>
  <conditionalFormatting sqref="C164">
    <cfRule type="cellIs" dxfId="203" priority="88" operator="equal">
      <formula>"SYDEREP"</formula>
    </cfRule>
    <cfRule type="cellIs" dxfId="202" priority="89" operator="equal">
      <formula>"Calcul"</formula>
    </cfRule>
    <cfRule type="cellIs" dxfId="201" priority="90" operator="equal">
      <formula>"EO"</formula>
    </cfRule>
  </conditionalFormatting>
  <conditionalFormatting sqref="C151:C157">
    <cfRule type="cellIs" dxfId="200" priority="85" operator="equal">
      <formula>"SYDEREP"</formula>
    </cfRule>
    <cfRule type="cellIs" dxfId="199" priority="86" operator="equal">
      <formula>"Calcul"</formula>
    </cfRule>
    <cfRule type="cellIs" dxfId="198" priority="87" operator="equal">
      <formula>"EO"</formula>
    </cfRule>
  </conditionalFormatting>
  <conditionalFormatting sqref="C169">
    <cfRule type="cellIs" dxfId="197" priority="82" operator="equal">
      <formula>"SYDEREP"</formula>
    </cfRule>
    <cfRule type="cellIs" dxfId="196" priority="83" operator="equal">
      <formula>"Calcul"</formula>
    </cfRule>
    <cfRule type="cellIs" dxfId="195" priority="84" operator="equal">
      <formula>"EO"</formula>
    </cfRule>
  </conditionalFormatting>
  <conditionalFormatting sqref="C108">
    <cfRule type="cellIs" dxfId="194" priority="70" operator="equal">
      <formula>"SYDEREP"</formula>
    </cfRule>
    <cfRule type="cellIs" dxfId="193" priority="71" operator="equal">
      <formula>"Calcul"</formula>
    </cfRule>
    <cfRule type="cellIs" dxfId="192" priority="72" operator="equal">
      <formula>"EO"</formula>
    </cfRule>
  </conditionalFormatting>
  <conditionalFormatting sqref="C100">
    <cfRule type="cellIs" dxfId="191" priority="73" operator="equal">
      <formula>"SYDEREP"</formula>
    </cfRule>
    <cfRule type="cellIs" dxfId="190" priority="74" operator="equal">
      <formula>"Calcul"</formula>
    </cfRule>
    <cfRule type="cellIs" dxfId="189" priority="75" operator="equal">
      <formula>"EO"</formula>
    </cfRule>
  </conditionalFormatting>
  <conditionalFormatting sqref="C38:C42 C44:C56 C58">
    <cfRule type="cellIs" dxfId="188" priority="49" operator="equal">
      <formula>"SYDEREP"</formula>
    </cfRule>
    <cfRule type="cellIs" dxfId="187" priority="50" operator="equal">
      <formula>"Calcul"</formula>
    </cfRule>
    <cfRule type="cellIs" dxfId="186" priority="51" operator="equal">
      <formula>"EO"</formula>
    </cfRule>
  </conditionalFormatting>
  <conditionalFormatting sqref="C43">
    <cfRule type="cellIs" dxfId="185" priority="46" operator="equal">
      <formula>"SYDEREP"</formula>
    </cfRule>
    <cfRule type="cellIs" dxfId="184" priority="47" operator="equal">
      <formula>"Calcul"</formula>
    </cfRule>
    <cfRule type="cellIs" dxfId="183" priority="48" operator="equal">
      <formula>"EO"</formula>
    </cfRule>
  </conditionalFormatting>
  <conditionalFormatting sqref="C57">
    <cfRule type="cellIs" dxfId="182" priority="43" operator="equal">
      <formula>"SYDEREP"</formula>
    </cfRule>
    <cfRule type="cellIs" dxfId="181" priority="44" operator="equal">
      <formula>"Calcul"</formula>
    </cfRule>
    <cfRule type="cellIs" dxfId="180" priority="45" operator="equal">
      <formula>"EO"</formula>
    </cfRule>
  </conditionalFormatting>
  <conditionalFormatting sqref="C60:C64 C66:C78 C80">
    <cfRule type="cellIs" dxfId="179" priority="40" operator="equal">
      <formula>"SYDEREP"</formula>
    </cfRule>
    <cfRule type="cellIs" dxfId="178" priority="41" operator="equal">
      <formula>"Calcul"</formula>
    </cfRule>
    <cfRule type="cellIs" dxfId="177" priority="42" operator="equal">
      <formula>"EO"</formula>
    </cfRule>
  </conditionalFormatting>
  <conditionalFormatting sqref="C65">
    <cfRule type="cellIs" dxfId="176" priority="37" operator="equal">
      <formula>"SYDEREP"</formula>
    </cfRule>
    <cfRule type="cellIs" dxfId="175" priority="38" operator="equal">
      <formula>"Calcul"</formula>
    </cfRule>
    <cfRule type="cellIs" dxfId="174" priority="39" operator="equal">
      <formula>"EO"</formula>
    </cfRule>
  </conditionalFormatting>
  <conditionalFormatting sqref="C79">
    <cfRule type="cellIs" dxfId="173" priority="34" operator="equal">
      <formula>"SYDEREP"</formula>
    </cfRule>
    <cfRule type="cellIs" dxfId="172" priority="35" operator="equal">
      <formula>"Calcul"</formula>
    </cfRule>
    <cfRule type="cellIs" dxfId="171" priority="36" operator="equal">
      <formula>"EO"</formula>
    </cfRule>
  </conditionalFormatting>
  <conditionalFormatting sqref="C101:C107">
    <cfRule type="cellIs" dxfId="170" priority="31" operator="equal">
      <formula>"SYDEREP"</formula>
    </cfRule>
    <cfRule type="cellIs" dxfId="169" priority="32" operator="equal">
      <formula>"Calcul"</formula>
    </cfRule>
    <cfRule type="cellIs" dxfId="168" priority="33" operator="equal">
      <formula>"EO"</formula>
    </cfRule>
  </conditionalFormatting>
  <conditionalFormatting sqref="C109:C115">
    <cfRule type="cellIs" dxfId="167" priority="28" operator="equal">
      <formula>"SYDEREP"</formula>
    </cfRule>
    <cfRule type="cellIs" dxfId="166" priority="29" operator="equal">
      <formula>"Calcul"</formula>
    </cfRule>
    <cfRule type="cellIs" dxfId="165" priority="30" operator="equal">
      <formula>"EO"</formula>
    </cfRule>
  </conditionalFormatting>
  <conditionalFormatting sqref="C59">
    <cfRule type="cellIs" dxfId="164" priority="25" operator="equal">
      <formula>"SYDEREP"</formula>
    </cfRule>
    <cfRule type="cellIs" dxfId="163" priority="26" operator="equal">
      <formula>"Calcul"</formula>
    </cfRule>
    <cfRule type="cellIs" dxfId="162" priority="27" operator="equal">
      <formula>"EO"</formula>
    </cfRule>
  </conditionalFormatting>
  <conditionalFormatting sqref="C37">
    <cfRule type="cellIs" dxfId="161" priority="22" operator="equal">
      <formula>"SYDEREP"</formula>
    </cfRule>
    <cfRule type="cellIs" dxfId="160" priority="23" operator="equal">
      <formula>"Calcul"</formula>
    </cfRule>
    <cfRule type="cellIs" dxfId="159" priority="24" operator="equal">
      <formula>"EO"</formula>
    </cfRule>
  </conditionalFormatting>
  <conditionalFormatting sqref="C16:C20 C22:C34 C36">
    <cfRule type="cellIs" dxfId="158" priority="19" operator="equal">
      <formula>"SYDEREP"</formula>
    </cfRule>
    <cfRule type="cellIs" dxfId="157" priority="20" operator="equal">
      <formula>"Calcul"</formula>
    </cfRule>
    <cfRule type="cellIs" dxfId="156" priority="21" operator="equal">
      <formula>"EO"</formula>
    </cfRule>
  </conditionalFormatting>
  <conditionalFormatting sqref="C21">
    <cfRule type="cellIs" dxfId="155" priority="16" operator="equal">
      <formula>"SYDEREP"</formula>
    </cfRule>
    <cfRule type="cellIs" dxfId="154" priority="17" operator="equal">
      <formula>"Calcul"</formula>
    </cfRule>
    <cfRule type="cellIs" dxfId="153" priority="18" operator="equal">
      <formula>"EO"</formula>
    </cfRule>
  </conditionalFormatting>
  <conditionalFormatting sqref="C35">
    <cfRule type="cellIs" dxfId="152" priority="13" operator="equal">
      <formula>"SYDEREP"</formula>
    </cfRule>
    <cfRule type="cellIs" dxfId="151" priority="14" operator="equal">
      <formula>"Calcul"</formula>
    </cfRule>
    <cfRule type="cellIs" dxfId="150" priority="15" operator="equal">
      <formula>"EO"</formula>
    </cfRule>
  </conditionalFormatting>
  <conditionalFormatting sqref="C92">
    <cfRule type="cellIs" dxfId="149" priority="10" operator="equal">
      <formula>"SYDEREP"</formula>
    </cfRule>
    <cfRule type="cellIs" dxfId="148" priority="11" operator="equal">
      <formula>"Calcul"</formula>
    </cfRule>
    <cfRule type="cellIs" dxfId="147" priority="12" operator="equal">
      <formula>"EO"</formula>
    </cfRule>
  </conditionalFormatting>
  <conditionalFormatting sqref="C93:C99">
    <cfRule type="cellIs" dxfId="146" priority="7" operator="equal">
      <formula>"SYDEREP"</formula>
    </cfRule>
    <cfRule type="cellIs" dxfId="145" priority="8" operator="equal">
      <formula>"Calcul"</formula>
    </cfRule>
    <cfRule type="cellIs" dxfId="144" priority="9" operator="equal">
      <formula>"EO"</formula>
    </cfRule>
  </conditionalFormatting>
  <conditionalFormatting sqref="C124:C125">
    <cfRule type="cellIs" dxfId="143" priority="4" operator="equal">
      <formula>"SYDEREP"</formula>
    </cfRule>
    <cfRule type="cellIs" dxfId="142" priority="5" operator="equal">
      <formula>"Calcul"</formula>
    </cfRule>
    <cfRule type="cellIs" dxfId="141" priority="6" operator="equal">
      <formula>"EO"</formula>
    </cfRule>
  </conditionalFormatting>
  <conditionalFormatting sqref="C126:C127">
    <cfRule type="cellIs" dxfId="140" priority="1" operator="equal">
      <formula>"SYDEREP"</formula>
    </cfRule>
    <cfRule type="cellIs" dxfId="139" priority="2" operator="equal">
      <formula>"Calcul"</formula>
    </cfRule>
    <cfRule type="cellIs" dxfId="138" priority="3" operator="equal">
      <formula>"EO"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DCD47"/>
  </sheetPr>
  <dimension ref="B1:T98"/>
  <sheetViews>
    <sheetView topLeftCell="A77" zoomScale="70" zoomScaleNormal="70" workbookViewId="0">
      <pane xSplit="2" topLeftCell="M1" activePane="topRight" state="frozen"/>
      <selection activeCell="B27" sqref="B27"/>
      <selection pane="topRight"/>
    </sheetView>
  </sheetViews>
  <sheetFormatPr baseColWidth="10" defaultColWidth="11.453125" defaultRowHeight="14.5"/>
  <cols>
    <col min="1" max="1" width="7.54296875" style="2" customWidth="1"/>
    <col min="2" max="2" width="86.453125" style="36" bestFit="1" customWidth="1"/>
    <col min="3" max="3" width="13.453125" style="36" bestFit="1" customWidth="1"/>
    <col min="4" max="4" width="9.54296875" style="36" customWidth="1"/>
    <col min="5" max="14" width="12.54296875" style="36" customWidth="1"/>
    <col min="15" max="15" width="12.453125" style="36" bestFit="1" customWidth="1"/>
    <col min="16" max="16" width="12.453125" style="36" customWidth="1"/>
    <col min="17" max="17" width="13.1796875" style="36" bestFit="1" customWidth="1"/>
    <col min="18" max="18" width="10" style="36" customWidth="1"/>
    <col min="19" max="16384" width="11.453125" style="2"/>
  </cols>
  <sheetData>
    <row r="1" spans="2:20">
      <c r="R1" s="91"/>
    </row>
    <row r="2" spans="2:20" ht="23">
      <c r="B2" s="37" t="s">
        <v>8</v>
      </c>
      <c r="C2" s="37"/>
    </row>
    <row r="3" spans="2:20" ht="15" thickBot="1"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2:20" ht="18">
      <c r="B4" s="228" t="s">
        <v>7</v>
      </c>
      <c r="C4" s="39" t="s">
        <v>140</v>
      </c>
      <c r="D4" s="39" t="s">
        <v>0</v>
      </c>
      <c r="E4" s="229">
        <v>2009</v>
      </c>
      <c r="F4" s="229">
        <v>2010</v>
      </c>
      <c r="G4" s="229">
        <v>2011</v>
      </c>
      <c r="H4" s="229">
        <v>2012</v>
      </c>
      <c r="I4" s="229">
        <v>2013</v>
      </c>
      <c r="J4" s="229">
        <v>2014</v>
      </c>
      <c r="K4" s="229">
        <v>2015</v>
      </c>
      <c r="L4" s="229">
        <v>2016</v>
      </c>
      <c r="M4" s="229">
        <v>2017</v>
      </c>
      <c r="N4" s="229">
        <v>2018</v>
      </c>
      <c r="O4" s="229">
        <v>2019</v>
      </c>
      <c r="P4" s="404">
        <v>2020</v>
      </c>
      <c r="Q4" s="230">
        <v>2021</v>
      </c>
    </row>
    <row r="5" spans="2:20" ht="15.5">
      <c r="B5" s="231" t="s">
        <v>6</v>
      </c>
      <c r="C5" s="43"/>
      <c r="D5" s="43"/>
      <c r="E5" s="232">
        <v>2010</v>
      </c>
      <c r="F5" s="232">
        <v>2011</v>
      </c>
      <c r="G5" s="232">
        <v>2012</v>
      </c>
      <c r="H5" s="232">
        <v>2013</v>
      </c>
      <c r="I5" s="232">
        <v>2014</v>
      </c>
      <c r="J5" s="232">
        <v>2015</v>
      </c>
      <c r="K5" s="232">
        <v>2016</v>
      </c>
      <c r="L5" s="232">
        <v>2017</v>
      </c>
      <c r="M5" s="232">
        <v>2018</v>
      </c>
      <c r="N5" s="232">
        <v>2019</v>
      </c>
      <c r="O5" s="232">
        <v>2020</v>
      </c>
      <c r="P5" s="405">
        <v>2021</v>
      </c>
      <c r="Q5" s="233">
        <v>2022</v>
      </c>
    </row>
    <row r="6" spans="2:20" ht="29.25" customHeight="1">
      <c r="B6" s="616" t="s">
        <v>29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8"/>
      <c r="Q6" s="619"/>
      <c r="S6" s="22"/>
    </row>
    <row r="7" spans="2:20">
      <c r="B7" s="234" t="s">
        <v>345</v>
      </c>
      <c r="C7" s="235" t="s">
        <v>141</v>
      </c>
      <c r="D7" s="43" t="s">
        <v>1</v>
      </c>
      <c r="E7" s="236">
        <v>1210</v>
      </c>
      <c r="F7" s="237">
        <v>1167</v>
      </c>
      <c r="G7" s="96">
        <v>1162</v>
      </c>
      <c r="H7" s="236">
        <v>1139</v>
      </c>
      <c r="I7" s="236">
        <v>1082</v>
      </c>
      <c r="J7" s="96">
        <v>992</v>
      </c>
      <c r="K7" s="96">
        <v>982</v>
      </c>
      <c r="L7" s="96">
        <v>982</v>
      </c>
      <c r="M7" s="96">
        <v>738</v>
      </c>
      <c r="N7" s="238">
        <v>708</v>
      </c>
      <c r="O7" s="238">
        <v>700</v>
      </c>
      <c r="P7" s="406">
        <v>688</v>
      </c>
      <c r="Q7" s="239">
        <v>684</v>
      </c>
      <c r="R7" s="442"/>
      <c r="S7" s="3"/>
    </row>
    <row r="8" spans="2:20">
      <c r="B8" s="234" t="s">
        <v>346</v>
      </c>
      <c r="C8" s="235" t="s">
        <v>141</v>
      </c>
      <c r="D8" s="43" t="s">
        <v>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406">
        <v>0</v>
      </c>
      <c r="Q8" s="239">
        <v>0</v>
      </c>
      <c r="S8" s="3"/>
    </row>
    <row r="9" spans="2:20">
      <c r="B9" s="234" t="s">
        <v>362</v>
      </c>
      <c r="C9" s="53" t="s">
        <v>289</v>
      </c>
      <c r="D9" s="43" t="s">
        <v>12</v>
      </c>
      <c r="E9" s="56"/>
      <c r="F9" s="240"/>
      <c r="G9" s="56"/>
      <c r="H9" s="56"/>
      <c r="I9" s="56"/>
      <c r="J9" s="56"/>
      <c r="K9" s="56"/>
      <c r="L9" s="56"/>
      <c r="M9" s="56"/>
      <c r="N9" s="238">
        <v>66170373</v>
      </c>
      <c r="O9" s="241">
        <v>66497920</v>
      </c>
      <c r="P9" s="406">
        <v>66669723</v>
      </c>
      <c r="Q9" s="239">
        <v>66832149</v>
      </c>
    </row>
    <row r="10" spans="2:20">
      <c r="B10" s="234" t="s">
        <v>363</v>
      </c>
      <c r="C10" s="235" t="s">
        <v>141</v>
      </c>
      <c r="D10" s="43" t="s">
        <v>12</v>
      </c>
      <c r="E10" s="96">
        <v>62600000</v>
      </c>
      <c r="F10" s="237">
        <v>63300000</v>
      </c>
      <c r="G10" s="96">
        <v>63369943</v>
      </c>
      <c r="H10" s="96">
        <v>63576340</v>
      </c>
      <c r="I10" s="96">
        <v>64694946</v>
      </c>
      <c r="J10" s="96">
        <v>64739999.999999993</v>
      </c>
      <c r="K10" s="96">
        <v>64739999.999999993</v>
      </c>
      <c r="L10" s="96">
        <v>64740000</v>
      </c>
      <c r="M10" s="96">
        <v>64800000</v>
      </c>
      <c r="N10" s="238">
        <v>66121680</v>
      </c>
      <c r="O10" s="238">
        <v>66485579</v>
      </c>
      <c r="P10" s="406">
        <v>66657338</v>
      </c>
      <c r="Q10" s="242">
        <v>66819729</v>
      </c>
      <c r="R10" s="243"/>
      <c r="T10" s="4"/>
    </row>
    <row r="11" spans="2:20">
      <c r="B11" s="234" t="s">
        <v>364</v>
      </c>
      <c r="C11" s="53" t="s">
        <v>289</v>
      </c>
      <c r="D11" s="43" t="s">
        <v>12</v>
      </c>
      <c r="E11" s="56"/>
      <c r="F11" s="240"/>
      <c r="G11" s="96">
        <v>1826993</v>
      </c>
      <c r="H11" s="96">
        <v>1838791</v>
      </c>
      <c r="I11" s="96">
        <v>1847704</v>
      </c>
      <c r="J11" s="96">
        <v>1890901</v>
      </c>
      <c r="K11" s="96">
        <v>1907081</v>
      </c>
      <c r="L11" s="96">
        <v>1908542</v>
      </c>
      <c r="M11" s="96">
        <v>2102915</v>
      </c>
      <c r="N11" s="96">
        <v>2142415</v>
      </c>
      <c r="O11" s="238">
        <v>2197099</v>
      </c>
      <c r="P11" s="406">
        <v>2200931</v>
      </c>
      <c r="Q11" s="239">
        <v>2193016</v>
      </c>
    </row>
    <row r="12" spans="2:20">
      <c r="B12" s="234" t="s">
        <v>365</v>
      </c>
      <c r="C12" s="235" t="s">
        <v>141</v>
      </c>
      <c r="D12" s="43" t="s">
        <v>12</v>
      </c>
      <c r="E12" s="56"/>
      <c r="F12" s="56"/>
      <c r="G12" s="56"/>
      <c r="H12" s="56"/>
      <c r="I12" s="96">
        <v>1855729</v>
      </c>
      <c r="J12" s="96">
        <v>1988139</v>
      </c>
      <c r="K12" s="96">
        <v>1988139</v>
      </c>
      <c r="L12" s="96">
        <v>2022317</v>
      </c>
      <c r="M12" s="96">
        <v>2022317</v>
      </c>
      <c r="N12" s="96">
        <v>2112928</v>
      </c>
      <c r="O12" s="241">
        <v>2187682</v>
      </c>
      <c r="P12" s="407">
        <v>2191138</v>
      </c>
      <c r="Q12" s="242">
        <v>2183055</v>
      </c>
    </row>
    <row r="13" spans="2:20">
      <c r="B13" s="234" t="s">
        <v>366</v>
      </c>
      <c r="C13" s="235" t="s">
        <v>141</v>
      </c>
      <c r="D13" s="43" t="s">
        <v>12</v>
      </c>
      <c r="E13" s="240"/>
      <c r="F13" s="240"/>
      <c r="G13" s="56"/>
      <c r="H13" s="56"/>
      <c r="I13" s="96">
        <v>186729</v>
      </c>
      <c r="J13" s="96">
        <v>212645</v>
      </c>
      <c r="K13" s="96">
        <v>212645</v>
      </c>
      <c r="L13" s="96">
        <v>212645</v>
      </c>
      <c r="M13" s="96">
        <v>307320</v>
      </c>
      <c r="N13" s="96">
        <v>307320</v>
      </c>
      <c r="O13" s="95">
        <v>353310</v>
      </c>
      <c r="P13" s="408">
        <v>356469</v>
      </c>
      <c r="Q13" s="97">
        <v>355653</v>
      </c>
    </row>
    <row r="14" spans="2:20" ht="17.5">
      <c r="B14" s="244" t="s">
        <v>180</v>
      </c>
      <c r="C14" s="105" t="s">
        <v>123</v>
      </c>
      <c r="D14" s="245" t="s">
        <v>3</v>
      </c>
      <c r="E14" s="240"/>
      <c r="F14" s="240"/>
      <c r="G14" s="56"/>
      <c r="H14" s="56"/>
      <c r="I14" s="56"/>
      <c r="J14" s="56"/>
      <c r="K14" s="56"/>
      <c r="L14" s="56"/>
      <c r="M14" s="56"/>
      <c r="N14" s="116">
        <f>IF(N$9=0,NA(),N10/N$9)</f>
        <v>0.99926412686233457</v>
      </c>
      <c r="O14" s="116">
        <f>IF(O$9=0,NA(),O10/O$9)</f>
        <v>0.9998144152478754</v>
      </c>
      <c r="P14" s="409">
        <f>IF(P$9=0,NA(),P10/P$9)</f>
        <v>0.99981423351646448</v>
      </c>
      <c r="Q14" s="117">
        <f>IF(Q$9=0,NA(),Q10/Q$9)</f>
        <v>0.99981416129533707</v>
      </c>
    </row>
    <row r="15" spans="2:20" ht="18" thickBot="1">
      <c r="B15" s="246" t="s">
        <v>367</v>
      </c>
      <c r="C15" s="62" t="s">
        <v>123</v>
      </c>
      <c r="D15" s="247" t="s">
        <v>3</v>
      </c>
      <c r="E15" s="247"/>
      <c r="F15" s="247"/>
      <c r="G15" s="64"/>
      <c r="H15" s="64"/>
      <c r="I15" s="118">
        <f t="shared" ref="I15:Q15" si="0">IF(I$11=0,NA(),I12/I$11)</f>
        <v>1.0043432281361084</v>
      </c>
      <c r="J15" s="118">
        <f t="shared" si="0"/>
        <v>1.0514241623437717</v>
      </c>
      <c r="K15" s="118">
        <f t="shared" si="0"/>
        <v>1.0425037006818274</v>
      </c>
      <c r="L15" s="118">
        <f t="shared" si="0"/>
        <v>1.0596135688918558</v>
      </c>
      <c r="M15" s="118">
        <f t="shared" si="0"/>
        <v>0.96167320124684075</v>
      </c>
      <c r="N15" s="118">
        <f t="shared" si="0"/>
        <v>0.9862365601435763</v>
      </c>
      <c r="O15" s="118">
        <f t="shared" si="0"/>
        <v>0.99571389363883922</v>
      </c>
      <c r="P15" s="410">
        <f t="shared" ref="P15" si="1">IF(P$11=0,NA(),P12/P$11)</f>
        <v>0.99555051930296767</v>
      </c>
      <c r="Q15" s="119">
        <f t="shared" si="0"/>
        <v>0.99545785347667326</v>
      </c>
    </row>
    <row r="17" spans="2:18" ht="15" thickBot="1">
      <c r="Q17" s="178"/>
    </row>
    <row r="18" spans="2:18" ht="18">
      <c r="B18" s="228" t="s">
        <v>7</v>
      </c>
      <c r="C18" s="248"/>
      <c r="D18" s="39" t="s">
        <v>0</v>
      </c>
      <c r="E18" s="229">
        <v>2009</v>
      </c>
      <c r="F18" s="229">
        <v>2010</v>
      </c>
      <c r="G18" s="229">
        <v>2011</v>
      </c>
      <c r="H18" s="229">
        <v>2012</v>
      </c>
      <c r="I18" s="229">
        <v>2013</v>
      </c>
      <c r="J18" s="229">
        <v>2014</v>
      </c>
      <c r="K18" s="229">
        <v>2015</v>
      </c>
      <c r="L18" s="229">
        <v>2016</v>
      </c>
      <c r="M18" s="229">
        <v>2017</v>
      </c>
      <c r="N18" s="229">
        <v>2018</v>
      </c>
      <c r="O18" s="229">
        <v>2019</v>
      </c>
      <c r="P18" s="404">
        <v>2020</v>
      </c>
      <c r="Q18" s="230">
        <v>2021</v>
      </c>
    </row>
    <row r="19" spans="2:18" ht="15.5">
      <c r="B19" s="231" t="s">
        <v>6</v>
      </c>
      <c r="C19" s="249"/>
      <c r="D19" s="43"/>
      <c r="E19" s="232">
        <v>2010</v>
      </c>
      <c r="F19" s="232">
        <v>2011</v>
      </c>
      <c r="G19" s="232">
        <v>2012</v>
      </c>
      <c r="H19" s="232">
        <v>2013</v>
      </c>
      <c r="I19" s="232">
        <v>2014</v>
      </c>
      <c r="J19" s="232">
        <v>2015</v>
      </c>
      <c r="K19" s="232">
        <v>2016</v>
      </c>
      <c r="L19" s="232">
        <v>2017</v>
      </c>
      <c r="M19" s="232">
        <v>2018</v>
      </c>
      <c r="N19" s="232">
        <v>2019</v>
      </c>
      <c r="O19" s="232">
        <v>2020</v>
      </c>
      <c r="P19" s="405">
        <v>2021</v>
      </c>
      <c r="Q19" s="233">
        <v>2022</v>
      </c>
    </row>
    <row r="20" spans="2:18" ht="29.25" customHeight="1">
      <c r="B20" s="616" t="s">
        <v>31</v>
      </c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  <c r="P20" s="618"/>
      <c r="Q20" s="619"/>
    </row>
    <row r="21" spans="2:18">
      <c r="B21" s="234" t="s">
        <v>32</v>
      </c>
      <c r="C21" s="53" t="s">
        <v>289</v>
      </c>
      <c r="D21" s="43" t="s">
        <v>1</v>
      </c>
      <c r="E21" s="250"/>
      <c r="F21" s="250"/>
      <c r="G21" s="251">
        <v>0</v>
      </c>
      <c r="H21" s="251">
        <v>0</v>
      </c>
      <c r="I21" s="252">
        <v>0</v>
      </c>
      <c r="J21" s="251">
        <v>0</v>
      </c>
      <c r="K21" s="251">
        <v>0</v>
      </c>
      <c r="L21" s="251">
        <v>0</v>
      </c>
      <c r="M21" s="253">
        <v>0</v>
      </c>
      <c r="N21" s="252">
        <v>6</v>
      </c>
      <c r="O21" s="252">
        <v>6</v>
      </c>
      <c r="P21" s="503">
        <v>9</v>
      </c>
      <c r="Q21" s="504">
        <v>8</v>
      </c>
    </row>
    <row r="22" spans="2:18">
      <c r="B22" s="234" t="s">
        <v>237</v>
      </c>
      <c r="C22" s="53" t="s">
        <v>289</v>
      </c>
      <c r="D22" s="43" t="s">
        <v>1</v>
      </c>
      <c r="E22" s="250"/>
      <c r="F22" s="250"/>
      <c r="G22" s="95">
        <v>12</v>
      </c>
      <c r="H22" s="95">
        <v>19</v>
      </c>
      <c r="I22" s="96">
        <v>11</v>
      </c>
      <c r="J22" s="95">
        <v>8</v>
      </c>
      <c r="K22" s="95">
        <v>7</v>
      </c>
      <c r="L22" s="95">
        <v>7</v>
      </c>
      <c r="M22" s="96">
        <v>0</v>
      </c>
      <c r="N22" s="252">
        <v>0</v>
      </c>
      <c r="O22" s="252">
        <v>0</v>
      </c>
      <c r="P22" s="503">
        <v>0</v>
      </c>
      <c r="Q22" s="504">
        <v>0</v>
      </c>
    </row>
    <row r="23" spans="2:18">
      <c r="B23" s="234" t="s">
        <v>33</v>
      </c>
      <c r="C23" s="105" t="s">
        <v>123</v>
      </c>
      <c r="D23" s="43" t="s">
        <v>11</v>
      </c>
      <c r="E23" s="250"/>
      <c r="F23" s="250"/>
      <c r="G23" s="56"/>
      <c r="H23" s="56"/>
      <c r="I23" s="56"/>
      <c r="J23" s="56"/>
      <c r="K23" s="254">
        <f t="shared" ref="K23:O23" si="2">+K71</f>
        <v>0.30818000000000001</v>
      </c>
      <c r="L23" s="254">
        <f t="shared" si="2"/>
        <v>2.3319999999999999</v>
      </c>
      <c r="M23" s="254">
        <f t="shared" si="2"/>
        <v>0.36369999999999997</v>
      </c>
      <c r="N23" s="254">
        <f t="shared" si="2"/>
        <v>0.87130590000000008</v>
      </c>
      <c r="O23" s="254">
        <f t="shared" si="2"/>
        <v>1.3226</v>
      </c>
      <c r="P23" s="411">
        <f t="shared" ref="P23" si="3">+P71</f>
        <v>0.46800000000000003</v>
      </c>
      <c r="Q23" s="255">
        <f>+Q71</f>
        <v>0.8</v>
      </c>
      <c r="R23" s="178"/>
    </row>
    <row r="24" spans="2:18" ht="30" customHeight="1">
      <c r="B24" s="616" t="s">
        <v>13</v>
      </c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8"/>
      <c r="Q24" s="619"/>
    </row>
    <row r="25" spans="2:18">
      <c r="B25" s="234" t="s">
        <v>101</v>
      </c>
      <c r="C25" s="105" t="s">
        <v>123</v>
      </c>
      <c r="D25" s="43" t="s">
        <v>11</v>
      </c>
      <c r="E25" s="256">
        <f t="shared" ref="E25:K25" si="4">SUM(E73:E75)</f>
        <v>2949.947549</v>
      </c>
      <c r="F25" s="256">
        <f t="shared" si="4"/>
        <v>2972.3062959999988</v>
      </c>
      <c r="G25" s="257">
        <f t="shared" si="4"/>
        <v>3115.5334912166472</v>
      </c>
      <c r="H25" s="257">
        <f t="shared" si="4"/>
        <v>3145.2694819999879</v>
      </c>
      <c r="I25" s="258">
        <f t="shared" si="4"/>
        <v>3181.3233179999947</v>
      </c>
      <c r="J25" s="258">
        <f t="shared" si="4"/>
        <v>3217.3378702494051</v>
      </c>
      <c r="K25" s="258">
        <f t="shared" si="4"/>
        <v>3256.6490111999956</v>
      </c>
      <c r="L25" s="258">
        <f t="shared" ref="L25:Q25" si="5">SUM(L73:L75)</f>
        <v>3355.1238159999975</v>
      </c>
      <c r="M25" s="258">
        <f t="shared" si="5"/>
        <v>3416.6069121849955</v>
      </c>
      <c r="N25" s="258">
        <f t="shared" si="5"/>
        <v>3527.0152353464919</v>
      </c>
      <c r="O25" s="258">
        <f t="shared" si="5"/>
        <v>3614.3613809000008</v>
      </c>
      <c r="P25" s="412">
        <f t="shared" si="5"/>
        <v>3672.7386900000001</v>
      </c>
      <c r="Q25" s="259">
        <f t="shared" si="5"/>
        <v>3811.5573899999999</v>
      </c>
      <c r="R25" s="178"/>
    </row>
    <row r="26" spans="2:18" ht="17.5">
      <c r="B26" s="260" t="s">
        <v>105</v>
      </c>
      <c r="C26" s="53" t="s">
        <v>141</v>
      </c>
      <c r="D26" s="43" t="s">
        <v>11</v>
      </c>
      <c r="E26" s="111">
        <v>90.364546999999803</v>
      </c>
      <c r="F26" s="111">
        <v>93.665949999999896</v>
      </c>
      <c r="G26" s="261">
        <v>95.444723999999837</v>
      </c>
      <c r="H26" s="261">
        <v>98.854710999999796</v>
      </c>
      <c r="I26" s="169">
        <v>101.91183299999989</v>
      </c>
      <c r="J26" s="169">
        <v>99.375330999999846</v>
      </c>
      <c r="K26" s="169">
        <v>99.649917999999801</v>
      </c>
      <c r="L26" s="169">
        <v>104.14478999999977</v>
      </c>
      <c r="M26" s="262">
        <v>105.06440699999987</v>
      </c>
      <c r="N26" s="169">
        <v>102.48231699999999</v>
      </c>
      <c r="O26" s="169">
        <v>106.03128</v>
      </c>
      <c r="P26" s="413">
        <v>110.76048999999993</v>
      </c>
      <c r="Q26" s="170">
        <v>112.22945999999995</v>
      </c>
      <c r="R26" s="178"/>
    </row>
    <row r="27" spans="2:18" ht="17.5">
      <c r="B27" s="260" t="s">
        <v>106</v>
      </c>
      <c r="C27" s="53" t="s">
        <v>141</v>
      </c>
      <c r="D27" s="43" t="s">
        <v>11</v>
      </c>
      <c r="E27" s="111">
        <v>232.933053</v>
      </c>
      <c r="F27" s="111">
        <v>230</v>
      </c>
      <c r="G27" s="261">
        <v>240.63373921664981</v>
      </c>
      <c r="H27" s="261">
        <v>230.93630999999999</v>
      </c>
      <c r="I27" s="169">
        <v>217.89672799999985</v>
      </c>
      <c r="J27" s="169">
        <v>219.09859724940577</v>
      </c>
      <c r="K27" s="169">
        <v>221.16979119999962</v>
      </c>
      <c r="L27" s="169">
        <v>226.18382299999971</v>
      </c>
      <c r="M27" s="262">
        <v>229.04514590499974</v>
      </c>
      <c r="N27" s="169">
        <v>213.58992400000002</v>
      </c>
      <c r="O27" s="169">
        <f>193.69852+18.21397</f>
        <v>211.91248999999999</v>
      </c>
      <c r="P27" s="413">
        <v>213.12608000000003</v>
      </c>
      <c r="Q27" s="170">
        <v>210.32293999999999</v>
      </c>
      <c r="R27" s="178"/>
    </row>
    <row r="28" spans="2:18" ht="17.5">
      <c r="B28" s="260" t="s">
        <v>107</v>
      </c>
      <c r="C28" s="53" t="s">
        <v>141</v>
      </c>
      <c r="D28" s="43" t="s">
        <v>11</v>
      </c>
      <c r="E28" s="111">
        <v>5.2268649999999903</v>
      </c>
      <c r="F28" s="111">
        <v>5.6118709999999901</v>
      </c>
      <c r="G28" s="261">
        <v>5.8809949999999862</v>
      </c>
      <c r="H28" s="261">
        <v>6.4166629999999909</v>
      </c>
      <c r="I28" s="169">
        <v>6.3483899999999975</v>
      </c>
      <c r="J28" s="169">
        <v>7.6572219999999964</v>
      </c>
      <c r="K28" s="169">
        <v>8.4988769999999931</v>
      </c>
      <c r="L28" s="169">
        <v>9.5875179999999922</v>
      </c>
      <c r="M28" s="262">
        <v>11.089235999999989</v>
      </c>
      <c r="N28" s="169">
        <v>11.591087999999999</v>
      </c>
      <c r="O28" s="169">
        <f>11.1161+1.58263</f>
        <v>12.698729999999999</v>
      </c>
      <c r="P28" s="413">
        <v>13.915929999999999</v>
      </c>
      <c r="Q28" s="170">
        <v>17.160679999999999</v>
      </c>
      <c r="R28" s="178"/>
    </row>
    <row r="29" spans="2:18" ht="17.5">
      <c r="B29" s="260" t="s">
        <v>108</v>
      </c>
      <c r="C29" s="53" t="s">
        <v>141</v>
      </c>
      <c r="D29" s="43" t="s">
        <v>11</v>
      </c>
      <c r="E29" s="111">
        <v>14.988263999999999</v>
      </c>
      <c r="F29" s="111">
        <v>14.331841000000001</v>
      </c>
      <c r="G29" s="261">
        <v>15.499000000000001</v>
      </c>
      <c r="H29" s="261">
        <v>17.10868</v>
      </c>
      <c r="I29" s="169">
        <v>17.399575000000002</v>
      </c>
      <c r="J29" s="169">
        <v>18.19665299999998</v>
      </c>
      <c r="K29" s="169">
        <v>19.710036999999982</v>
      </c>
      <c r="L29" s="169">
        <v>22.834107999999976</v>
      </c>
      <c r="M29" s="262">
        <v>26.09667127999996</v>
      </c>
      <c r="N29" s="169">
        <v>26.125184999999981</v>
      </c>
      <c r="O29" s="169">
        <f>25.87921+2.10331</f>
        <v>27.982520000000001</v>
      </c>
      <c r="P29" s="413">
        <v>33.353100000000005</v>
      </c>
      <c r="Q29" s="170">
        <v>31.791879999999999</v>
      </c>
      <c r="R29" s="94"/>
    </row>
    <row r="30" spans="2:18" ht="17.5">
      <c r="B30" s="260" t="s">
        <v>361</v>
      </c>
      <c r="C30" s="53" t="s">
        <v>123</v>
      </c>
      <c r="D30" s="43" t="s">
        <v>11</v>
      </c>
      <c r="E30" s="107">
        <f>E31+E32</f>
        <v>478.81338599999998</v>
      </c>
      <c r="F30" s="107">
        <f t="shared" ref="F30:N30" si="6">F31+F32</f>
        <v>500.33569299999891</v>
      </c>
      <c r="G30" s="263">
        <f t="shared" si="6"/>
        <v>594.24441799999909</v>
      </c>
      <c r="H30" s="263">
        <f t="shared" si="6"/>
        <v>626.73017199999799</v>
      </c>
      <c r="I30" s="264">
        <f t="shared" si="6"/>
        <v>644.89176799999905</v>
      </c>
      <c r="J30" s="264">
        <f t="shared" si="6"/>
        <v>655.04587900000013</v>
      </c>
      <c r="K30" s="264">
        <f t="shared" si="6"/>
        <v>662.26120199999843</v>
      </c>
      <c r="L30" s="264">
        <f t="shared" si="6"/>
        <v>679.94407099999898</v>
      </c>
      <c r="M30" s="265">
        <f t="shared" si="6"/>
        <v>691.39660799999899</v>
      </c>
      <c r="N30" s="264">
        <f t="shared" si="6"/>
        <v>759.7160230900065</v>
      </c>
      <c r="O30" s="264">
        <f>O31+O32</f>
        <v>782.23369000000002</v>
      </c>
      <c r="P30" s="264">
        <f>P31+P32</f>
        <v>760.96821999999963</v>
      </c>
      <c r="Q30" s="266">
        <f t="shared" ref="Q30" si="7">Q31+Q32</f>
        <v>830.66271999999992</v>
      </c>
      <c r="R30" s="178"/>
    </row>
    <row r="31" spans="2:18" ht="17.5">
      <c r="B31" s="260" t="s">
        <v>300</v>
      </c>
      <c r="C31" s="53" t="s">
        <v>141</v>
      </c>
      <c r="D31" s="43" t="s">
        <v>11</v>
      </c>
      <c r="E31" s="111">
        <v>34.657606000000001</v>
      </c>
      <c r="F31" s="111">
        <v>34.944432999999897</v>
      </c>
      <c r="G31" s="261">
        <v>36.094434999999947</v>
      </c>
      <c r="H31" s="261">
        <v>37.913431999999901</v>
      </c>
      <c r="I31" s="169">
        <v>39.536795999999924</v>
      </c>
      <c r="J31" s="169">
        <v>39.68391299999994</v>
      </c>
      <c r="K31" s="169">
        <v>38.355915999999944</v>
      </c>
      <c r="L31" s="169">
        <v>37.297607999999933</v>
      </c>
      <c r="M31" s="267">
        <v>37.637563999999962</v>
      </c>
      <c r="N31" s="268">
        <v>35.513790999999969</v>
      </c>
      <c r="O31" s="268">
        <v>37.527200000000001</v>
      </c>
      <c r="P31" s="415">
        <v>37.569379999999974</v>
      </c>
      <c r="Q31" s="269">
        <v>39.613279999999982</v>
      </c>
      <c r="R31" s="470"/>
    </row>
    <row r="32" spans="2:18" ht="17.5">
      <c r="B32" s="260" t="s">
        <v>302</v>
      </c>
      <c r="C32" s="53" t="s">
        <v>123</v>
      </c>
      <c r="D32" s="43" t="s">
        <v>11</v>
      </c>
      <c r="E32" s="111">
        <v>444.15577999999999</v>
      </c>
      <c r="F32" s="111">
        <v>465.39125999999902</v>
      </c>
      <c r="G32" s="261">
        <v>558.14998299999911</v>
      </c>
      <c r="H32" s="261">
        <v>588.81673999999805</v>
      </c>
      <c r="I32" s="169">
        <v>605.35497199999918</v>
      </c>
      <c r="J32" s="169">
        <v>615.36196600000017</v>
      </c>
      <c r="K32" s="169">
        <v>623.90528599999845</v>
      </c>
      <c r="L32" s="169">
        <v>642.64646299999902</v>
      </c>
      <c r="M32" s="267">
        <v>653.75904399999899</v>
      </c>
      <c r="N32" s="169">
        <v>724.20223209000653</v>
      </c>
      <c r="O32" s="264">
        <f>O33+O34+O35</f>
        <v>744.70649000000003</v>
      </c>
      <c r="P32" s="264">
        <f>P33+P34+P35</f>
        <v>723.39883999999961</v>
      </c>
      <c r="Q32" s="266">
        <f>Q33+Q34+Q35</f>
        <v>791.04943999999989</v>
      </c>
      <c r="R32" s="94"/>
    </row>
    <row r="33" spans="2:18" ht="17.5">
      <c r="B33" s="260" t="s">
        <v>304</v>
      </c>
      <c r="C33" s="86" t="s">
        <v>141</v>
      </c>
      <c r="D33" s="43" t="s">
        <v>11</v>
      </c>
      <c r="E33" s="270"/>
      <c r="F33" s="270"/>
      <c r="G33" s="271"/>
      <c r="H33" s="271"/>
      <c r="I33" s="272"/>
      <c r="J33" s="272"/>
      <c r="K33" s="272"/>
      <c r="L33" s="272"/>
      <c r="M33" s="273"/>
      <c r="N33" s="272"/>
      <c r="O33" s="274">
        <v>447.11018000000001</v>
      </c>
      <c r="P33" s="413">
        <v>431.50330999999966</v>
      </c>
      <c r="Q33" s="170">
        <v>474.47694999999993</v>
      </c>
      <c r="R33" s="94"/>
    </row>
    <row r="34" spans="2:18" ht="17.5">
      <c r="B34" s="260" t="s">
        <v>303</v>
      </c>
      <c r="C34" s="86" t="s">
        <v>141</v>
      </c>
      <c r="D34" s="43" t="s">
        <v>11</v>
      </c>
      <c r="E34" s="270"/>
      <c r="F34" s="270"/>
      <c r="G34" s="271"/>
      <c r="H34" s="271"/>
      <c r="I34" s="272"/>
      <c r="J34" s="272"/>
      <c r="K34" s="272"/>
      <c r="L34" s="272"/>
      <c r="M34" s="273"/>
      <c r="N34" s="272"/>
      <c r="O34" s="274">
        <v>73.876949999999994</v>
      </c>
      <c r="P34" s="413">
        <v>75.435729999999978</v>
      </c>
      <c r="Q34" s="170">
        <v>79.084550000000092</v>
      </c>
      <c r="R34" s="94"/>
    </row>
    <row r="35" spans="2:18" ht="17.5">
      <c r="B35" s="260" t="s">
        <v>301</v>
      </c>
      <c r="C35" s="86" t="s">
        <v>141</v>
      </c>
      <c r="D35" s="43" t="s">
        <v>11</v>
      </c>
      <c r="E35" s="270"/>
      <c r="F35" s="270"/>
      <c r="G35" s="271"/>
      <c r="H35" s="271"/>
      <c r="I35" s="272"/>
      <c r="J35" s="272"/>
      <c r="K35" s="272"/>
      <c r="L35" s="272"/>
      <c r="M35" s="273"/>
      <c r="N35" s="272"/>
      <c r="O35" s="274">
        <v>223.71935999999999</v>
      </c>
      <c r="P35" s="413">
        <v>216.4598</v>
      </c>
      <c r="Q35" s="170">
        <v>237.48793999999987</v>
      </c>
      <c r="R35" s="94"/>
    </row>
    <row r="36" spans="2:18" ht="17.5">
      <c r="B36" s="260" t="s">
        <v>109</v>
      </c>
      <c r="C36" s="53" t="s">
        <v>141</v>
      </c>
      <c r="D36" s="43" t="s">
        <v>11</v>
      </c>
      <c r="E36" s="111">
        <v>6.1109999999999998</v>
      </c>
      <c r="F36" s="111">
        <v>7.4779999999999998</v>
      </c>
      <c r="G36" s="261">
        <v>9.282</v>
      </c>
      <c r="H36" s="261">
        <v>11.163</v>
      </c>
      <c r="I36" s="169">
        <v>10.785301999999987</v>
      </c>
      <c r="J36" s="169">
        <v>12.896214999999991</v>
      </c>
      <c r="K36" s="169">
        <v>16.273406999999999</v>
      </c>
      <c r="L36" s="169">
        <v>16.568430999999986</v>
      </c>
      <c r="M36" s="262">
        <v>15.950165999999976</v>
      </c>
      <c r="N36" s="275"/>
      <c r="O36" s="275"/>
      <c r="P36" s="416"/>
      <c r="Q36" s="276"/>
      <c r="R36" s="94"/>
    </row>
    <row r="37" spans="2:18" ht="17.5">
      <c r="B37" s="260" t="s">
        <v>110</v>
      </c>
      <c r="C37" s="53" t="s">
        <v>123</v>
      </c>
      <c r="D37" s="43" t="s">
        <v>11</v>
      </c>
      <c r="E37" s="107">
        <f>E38+E39</f>
        <v>226.224278</v>
      </c>
      <c r="F37" s="107">
        <f t="shared" ref="F37:N37" si="8">F38+F39</f>
        <v>230.45970499999999</v>
      </c>
      <c r="G37" s="263">
        <f t="shared" si="8"/>
        <v>233.79793299999966</v>
      </c>
      <c r="H37" s="263">
        <f t="shared" si="8"/>
        <v>242.72026200000002</v>
      </c>
      <c r="I37" s="264">
        <f t="shared" si="8"/>
        <v>251.07771799999966</v>
      </c>
      <c r="J37" s="264">
        <f t="shared" si="8"/>
        <v>255.61007099999958</v>
      </c>
      <c r="K37" s="264">
        <f t="shared" si="8"/>
        <v>265.90481499999999</v>
      </c>
      <c r="L37" s="264">
        <f t="shared" si="8"/>
        <v>279.88404499999996</v>
      </c>
      <c r="M37" s="265">
        <f t="shared" si="8"/>
        <v>295.32209699999953</v>
      </c>
      <c r="N37" s="264">
        <f t="shared" si="8"/>
        <v>309.02581795648524</v>
      </c>
      <c r="O37" s="264">
        <f>SUM(O40:O57)</f>
        <v>319.38232999999997</v>
      </c>
      <c r="P37" s="264">
        <f>SUM(P40:P57)</f>
        <v>325.23880000000003</v>
      </c>
      <c r="Q37" s="266">
        <f>SUM(Q40:Q57)</f>
        <v>352.88397999999984</v>
      </c>
      <c r="R37" s="178"/>
    </row>
    <row r="38" spans="2:18" ht="17.5">
      <c r="B38" s="260" t="s">
        <v>144</v>
      </c>
      <c r="C38" s="53" t="s">
        <v>141</v>
      </c>
      <c r="D38" s="43" t="s">
        <v>11</v>
      </c>
      <c r="E38" s="111">
        <v>223.82427799999999</v>
      </c>
      <c r="F38" s="111">
        <v>228.479141</v>
      </c>
      <c r="G38" s="261">
        <v>231.618066128463</v>
      </c>
      <c r="H38" s="261">
        <v>237.01961200000002</v>
      </c>
      <c r="I38" s="169">
        <v>243.58392399999966</v>
      </c>
      <c r="J38" s="169">
        <v>249.06941799999959</v>
      </c>
      <c r="K38" s="169">
        <v>257.128713</v>
      </c>
      <c r="L38" s="169">
        <v>262.49864299999996</v>
      </c>
      <c r="M38" s="262">
        <v>269.03081899999955</v>
      </c>
      <c r="N38" s="169">
        <v>280.46895985677116</v>
      </c>
      <c r="O38" s="275"/>
      <c r="P38" s="416"/>
      <c r="Q38" s="276"/>
      <c r="R38" s="145"/>
    </row>
    <row r="39" spans="2:18" ht="17.5">
      <c r="B39" s="260" t="s">
        <v>320</v>
      </c>
      <c r="C39" s="53" t="s">
        <v>141</v>
      </c>
      <c r="D39" s="43" t="s">
        <v>11</v>
      </c>
      <c r="E39" s="111">
        <v>2.4</v>
      </c>
      <c r="F39" s="111">
        <v>1.980564</v>
      </c>
      <c r="G39" s="261">
        <v>2.1798668715366722</v>
      </c>
      <c r="H39" s="261">
        <v>5.7006499999999996</v>
      </c>
      <c r="I39" s="169">
        <v>7.4937940000000003</v>
      </c>
      <c r="J39" s="169">
        <v>6.5406529999999936</v>
      </c>
      <c r="K39" s="169">
        <v>8.7761019999999874</v>
      </c>
      <c r="L39" s="169">
        <v>17.385401999999988</v>
      </c>
      <c r="M39" s="262">
        <v>26.291277999999963</v>
      </c>
      <c r="N39" s="169">
        <v>28.556858099714066</v>
      </c>
      <c r="O39" s="275"/>
      <c r="P39" s="416"/>
      <c r="Q39" s="276"/>
    </row>
    <row r="40" spans="2:18" ht="17.5">
      <c r="B40" s="260" t="s">
        <v>321</v>
      </c>
      <c r="C40" s="86" t="s">
        <v>141</v>
      </c>
      <c r="D40" s="43" t="s">
        <v>11</v>
      </c>
      <c r="E40" s="270"/>
      <c r="F40" s="270"/>
      <c r="G40" s="271"/>
      <c r="H40" s="271"/>
      <c r="I40" s="272"/>
      <c r="J40" s="272"/>
      <c r="K40" s="272"/>
      <c r="L40" s="272"/>
      <c r="M40" s="277"/>
      <c r="N40" s="272"/>
      <c r="O40" s="274">
        <v>21.491</v>
      </c>
      <c r="P40" s="413">
        <v>26.610850000000013</v>
      </c>
      <c r="Q40" s="170">
        <v>34.218269999999983</v>
      </c>
    </row>
    <row r="41" spans="2:18" ht="17.5">
      <c r="B41" s="260" t="s">
        <v>322</v>
      </c>
      <c r="C41" s="86" t="s">
        <v>141</v>
      </c>
      <c r="D41" s="43" t="s">
        <v>11</v>
      </c>
      <c r="E41" s="270"/>
      <c r="F41" s="270"/>
      <c r="G41" s="271"/>
      <c r="H41" s="271"/>
      <c r="I41" s="272"/>
      <c r="J41" s="272"/>
      <c r="K41" s="272"/>
      <c r="L41" s="272"/>
      <c r="M41" s="277"/>
      <c r="N41" s="272"/>
      <c r="O41" s="274">
        <v>0</v>
      </c>
      <c r="P41" s="413">
        <v>0</v>
      </c>
      <c r="Q41" s="170">
        <v>0</v>
      </c>
    </row>
    <row r="42" spans="2:18" ht="17.5">
      <c r="B42" s="260" t="s">
        <v>323</v>
      </c>
      <c r="C42" s="86" t="s">
        <v>141</v>
      </c>
      <c r="D42" s="43" t="s">
        <v>11</v>
      </c>
      <c r="E42" s="270"/>
      <c r="F42" s="270"/>
      <c r="G42" s="271"/>
      <c r="H42" s="271"/>
      <c r="I42" s="272"/>
      <c r="J42" s="272"/>
      <c r="K42" s="272"/>
      <c r="L42" s="272"/>
      <c r="M42" s="277"/>
      <c r="N42" s="272"/>
      <c r="O42" s="274">
        <v>93.492270000000005</v>
      </c>
      <c r="P42" s="413">
        <v>80.436770000000067</v>
      </c>
      <c r="Q42" s="170">
        <v>84.88712000000001</v>
      </c>
    </row>
    <row r="43" spans="2:18" ht="17.5">
      <c r="B43" s="260" t="s">
        <v>324</v>
      </c>
      <c r="C43" s="86" t="s">
        <v>141</v>
      </c>
      <c r="D43" s="43" t="s">
        <v>11</v>
      </c>
      <c r="E43" s="270"/>
      <c r="F43" s="270"/>
      <c r="G43" s="271"/>
      <c r="H43" s="271"/>
      <c r="I43" s="272"/>
      <c r="J43" s="272"/>
      <c r="K43" s="272"/>
      <c r="L43" s="272"/>
      <c r="M43" s="277"/>
      <c r="N43" s="272"/>
      <c r="O43" s="274">
        <v>28.835080000000001</v>
      </c>
      <c r="P43" s="413">
        <v>22.867030000000025</v>
      </c>
      <c r="Q43" s="170">
        <v>23.988299999999981</v>
      </c>
    </row>
    <row r="44" spans="2:18" ht="17.5">
      <c r="B44" s="260" t="s">
        <v>325</v>
      </c>
      <c r="C44" s="86" t="s">
        <v>141</v>
      </c>
      <c r="D44" s="43" t="s">
        <v>11</v>
      </c>
      <c r="E44" s="270"/>
      <c r="F44" s="270"/>
      <c r="G44" s="271"/>
      <c r="H44" s="271"/>
      <c r="I44" s="272"/>
      <c r="J44" s="272"/>
      <c r="K44" s="272"/>
      <c r="L44" s="272"/>
      <c r="M44" s="277"/>
      <c r="N44" s="272"/>
      <c r="O44" s="274">
        <v>37.949089999999998</v>
      </c>
      <c r="P44" s="413">
        <v>31.361449999999977</v>
      </c>
      <c r="Q44" s="170">
        <v>32.892860000000013</v>
      </c>
    </row>
    <row r="45" spans="2:18" ht="17.5">
      <c r="B45" s="260" t="s">
        <v>326</v>
      </c>
      <c r="C45" s="86" t="s">
        <v>141</v>
      </c>
      <c r="D45" s="43" t="s">
        <v>11</v>
      </c>
      <c r="E45" s="270"/>
      <c r="F45" s="270"/>
      <c r="G45" s="271"/>
      <c r="H45" s="271"/>
      <c r="I45" s="272"/>
      <c r="J45" s="272"/>
      <c r="K45" s="272"/>
      <c r="L45" s="272"/>
      <c r="M45" s="277"/>
      <c r="N45" s="272"/>
      <c r="O45" s="274">
        <v>5.1510699999999998</v>
      </c>
      <c r="P45" s="413">
        <v>7.9951100000000013</v>
      </c>
      <c r="Q45" s="170">
        <v>8.6079699999999999</v>
      </c>
    </row>
    <row r="46" spans="2:18" ht="17.5">
      <c r="B46" s="260" t="s">
        <v>327</v>
      </c>
      <c r="C46" s="86" t="s">
        <v>141</v>
      </c>
      <c r="D46" s="43" t="s">
        <v>11</v>
      </c>
      <c r="E46" s="270"/>
      <c r="F46" s="270"/>
      <c r="G46" s="271"/>
      <c r="H46" s="271"/>
      <c r="I46" s="272"/>
      <c r="J46" s="272"/>
      <c r="K46" s="272"/>
      <c r="L46" s="272"/>
      <c r="M46" s="277"/>
      <c r="N46" s="272"/>
      <c r="O46" s="274">
        <v>68.629130000000004</v>
      </c>
      <c r="P46" s="413">
        <v>78.283860000000004</v>
      </c>
      <c r="Q46" s="170">
        <v>81.279959999999917</v>
      </c>
    </row>
    <row r="47" spans="2:18" ht="17.5">
      <c r="B47" s="260" t="s">
        <v>328</v>
      </c>
      <c r="C47" s="86" t="s">
        <v>141</v>
      </c>
      <c r="D47" s="43" t="s">
        <v>11</v>
      </c>
      <c r="E47" s="270"/>
      <c r="F47" s="270"/>
      <c r="G47" s="271"/>
      <c r="H47" s="271"/>
      <c r="I47" s="272"/>
      <c r="J47" s="272"/>
      <c r="K47" s="272"/>
      <c r="L47" s="272"/>
      <c r="M47" s="277"/>
      <c r="N47" s="272"/>
      <c r="O47" s="274">
        <v>18.617180000000001</v>
      </c>
      <c r="P47" s="413">
        <v>18.928379999999997</v>
      </c>
      <c r="Q47" s="170">
        <v>19.526329999999994</v>
      </c>
    </row>
    <row r="48" spans="2:18" ht="17.5">
      <c r="B48" s="260" t="s">
        <v>329</v>
      </c>
      <c r="C48" s="86" t="s">
        <v>141</v>
      </c>
      <c r="D48" s="43" t="s">
        <v>11</v>
      </c>
      <c r="E48" s="270"/>
      <c r="F48" s="270"/>
      <c r="G48" s="271"/>
      <c r="H48" s="271"/>
      <c r="I48" s="272"/>
      <c r="J48" s="272"/>
      <c r="K48" s="272"/>
      <c r="L48" s="272"/>
      <c r="M48" s="277"/>
      <c r="N48" s="272"/>
      <c r="O48" s="274">
        <v>0</v>
      </c>
      <c r="P48" s="413">
        <v>1.62683</v>
      </c>
      <c r="Q48" s="170">
        <v>1.6931799999999997</v>
      </c>
    </row>
    <row r="49" spans="2:18" ht="17.5">
      <c r="B49" s="260" t="s">
        <v>330</v>
      </c>
      <c r="C49" s="86" t="s">
        <v>141</v>
      </c>
      <c r="D49" s="43" t="s">
        <v>11</v>
      </c>
      <c r="E49" s="270"/>
      <c r="F49" s="270"/>
      <c r="G49" s="271"/>
      <c r="H49" s="271"/>
      <c r="I49" s="272"/>
      <c r="J49" s="272"/>
      <c r="K49" s="272"/>
      <c r="L49" s="272"/>
      <c r="M49" s="277"/>
      <c r="N49" s="272"/>
      <c r="O49" s="274">
        <v>38.831009999999999</v>
      </c>
      <c r="P49" s="413">
        <v>46.365929999999935</v>
      </c>
      <c r="Q49" s="170">
        <v>47.866249999999987</v>
      </c>
    </row>
    <row r="50" spans="2:18" ht="17.5">
      <c r="B50" s="260" t="s">
        <v>331</v>
      </c>
      <c r="C50" s="86" t="s">
        <v>141</v>
      </c>
      <c r="D50" s="43" t="s">
        <v>11</v>
      </c>
      <c r="E50" s="270"/>
      <c r="F50" s="270"/>
      <c r="G50" s="271"/>
      <c r="H50" s="271"/>
      <c r="I50" s="272"/>
      <c r="J50" s="272"/>
      <c r="K50" s="272"/>
      <c r="L50" s="272"/>
      <c r="M50" s="277"/>
      <c r="N50" s="272"/>
      <c r="O50" s="274">
        <v>2.44028</v>
      </c>
      <c r="P50" s="413">
        <v>2.0452499999999998</v>
      </c>
      <c r="Q50" s="170">
        <v>2.26166</v>
      </c>
    </row>
    <row r="51" spans="2:18" ht="17.5">
      <c r="B51" s="260" t="s">
        <v>332</v>
      </c>
      <c r="C51" s="86" t="s">
        <v>141</v>
      </c>
      <c r="D51" s="43" t="s">
        <v>11</v>
      </c>
      <c r="E51" s="270"/>
      <c r="F51" s="270"/>
      <c r="G51" s="271"/>
      <c r="H51" s="271"/>
      <c r="I51" s="272"/>
      <c r="J51" s="272"/>
      <c r="K51" s="272"/>
      <c r="L51" s="272"/>
      <c r="M51" s="277"/>
      <c r="N51" s="272"/>
      <c r="O51" s="274">
        <v>3.0082599999999999</v>
      </c>
      <c r="P51" s="413">
        <v>3.7101299999999999</v>
      </c>
      <c r="Q51" s="170">
        <v>3.8989300000000005</v>
      </c>
    </row>
    <row r="52" spans="2:18" ht="17.5">
      <c r="B52" s="260" t="s">
        <v>333</v>
      </c>
      <c r="C52" s="86" t="s">
        <v>141</v>
      </c>
      <c r="D52" s="43" t="s">
        <v>11</v>
      </c>
      <c r="E52" s="270"/>
      <c r="F52" s="270"/>
      <c r="G52" s="271"/>
      <c r="H52" s="271"/>
      <c r="I52" s="272"/>
      <c r="J52" s="272"/>
      <c r="K52" s="272"/>
      <c r="L52" s="272"/>
      <c r="M52" s="277"/>
      <c r="N52" s="272"/>
      <c r="O52" s="274">
        <v>0.89256000000000002</v>
      </c>
      <c r="P52" s="413">
        <v>0.84373000000000009</v>
      </c>
      <c r="Q52" s="170">
        <v>0.87978000000000001</v>
      </c>
    </row>
    <row r="53" spans="2:18" ht="17.5">
      <c r="B53" s="260" t="s">
        <v>334</v>
      </c>
      <c r="C53" s="86" t="s">
        <v>141</v>
      </c>
      <c r="D53" s="43" t="s">
        <v>11</v>
      </c>
      <c r="E53" s="270"/>
      <c r="F53" s="270"/>
      <c r="G53" s="271"/>
      <c r="H53" s="271"/>
      <c r="I53" s="272"/>
      <c r="J53" s="272"/>
      <c r="K53" s="272"/>
      <c r="L53" s="272"/>
      <c r="M53" s="277"/>
      <c r="N53" s="272"/>
      <c r="O53" s="274">
        <v>0</v>
      </c>
      <c r="P53" s="413">
        <v>0</v>
      </c>
      <c r="Q53" s="170">
        <v>0</v>
      </c>
    </row>
    <row r="54" spans="2:18" ht="17.5">
      <c r="B54" s="260" t="s">
        <v>335</v>
      </c>
      <c r="C54" s="86" t="s">
        <v>141</v>
      </c>
      <c r="D54" s="43" t="s">
        <v>11</v>
      </c>
      <c r="E54" s="270"/>
      <c r="F54" s="270"/>
      <c r="G54" s="271"/>
      <c r="H54" s="271"/>
      <c r="I54" s="272"/>
      <c r="J54" s="272"/>
      <c r="K54" s="272"/>
      <c r="L54" s="272"/>
      <c r="M54" s="277"/>
      <c r="N54" s="272"/>
      <c r="O54" s="274">
        <v>4.5400000000000003E-2</v>
      </c>
      <c r="P54" s="413">
        <v>4.1634800000000016</v>
      </c>
      <c r="Q54" s="170">
        <v>10.883370000000003</v>
      </c>
    </row>
    <row r="55" spans="2:18" ht="17.5">
      <c r="B55" s="260" t="s">
        <v>336</v>
      </c>
      <c r="C55" s="86" t="s">
        <v>141</v>
      </c>
      <c r="D55" s="43" t="s">
        <v>11</v>
      </c>
      <c r="E55" s="270"/>
      <c r="F55" s="270"/>
      <c r="G55" s="271"/>
      <c r="H55" s="271"/>
      <c r="I55" s="272"/>
      <c r="J55" s="272"/>
      <c r="K55" s="272"/>
      <c r="L55" s="272"/>
      <c r="M55" s="277"/>
      <c r="N55" s="272"/>
      <c r="O55" s="274">
        <v>0</v>
      </c>
      <c r="P55" s="413">
        <v>0</v>
      </c>
      <c r="Q55" s="170">
        <v>0</v>
      </c>
    </row>
    <row r="56" spans="2:18" ht="17.5">
      <c r="B56" s="260" t="s">
        <v>337</v>
      </c>
      <c r="C56" s="86" t="s">
        <v>141</v>
      </c>
      <c r="D56" s="43" t="s">
        <v>11</v>
      </c>
      <c r="E56" s="270"/>
      <c r="F56" s="270"/>
      <c r="G56" s="271"/>
      <c r="H56" s="271"/>
      <c r="I56" s="272"/>
      <c r="J56" s="272"/>
      <c r="K56" s="272"/>
      <c r="L56" s="272"/>
      <c r="M56" s="277"/>
      <c r="N56" s="272"/>
      <c r="O56" s="274">
        <v>0</v>
      </c>
      <c r="P56" s="413">
        <v>0</v>
      </c>
      <c r="Q56" s="170">
        <v>0</v>
      </c>
    </row>
    <row r="57" spans="2:18" ht="17.5">
      <c r="B57" s="260" t="s">
        <v>338</v>
      </c>
      <c r="C57" s="86" t="s">
        <v>141</v>
      </c>
      <c r="D57" s="43" t="s">
        <v>11</v>
      </c>
      <c r="E57" s="270"/>
      <c r="F57" s="270"/>
      <c r="G57" s="271"/>
      <c r="H57" s="271"/>
      <c r="I57" s="272"/>
      <c r="J57" s="272"/>
      <c r="K57" s="272"/>
      <c r="L57" s="272"/>
      <c r="M57" s="277"/>
      <c r="N57" s="272"/>
      <c r="O57" s="274">
        <v>0</v>
      </c>
      <c r="P57" s="413">
        <v>0</v>
      </c>
      <c r="Q57" s="170">
        <v>0</v>
      </c>
    </row>
    <row r="58" spans="2:18" ht="17.5">
      <c r="B58" s="260" t="s">
        <v>111</v>
      </c>
      <c r="C58" s="53" t="s">
        <v>141</v>
      </c>
      <c r="D58" s="43" t="s">
        <v>11</v>
      </c>
      <c r="E58" s="278"/>
      <c r="F58" s="278"/>
      <c r="G58" s="278"/>
      <c r="H58" s="261">
        <v>1.365</v>
      </c>
      <c r="I58" s="169">
        <v>1.1499710000000001</v>
      </c>
      <c r="J58" s="169">
        <v>0.83865400000000001</v>
      </c>
      <c r="K58" s="169">
        <v>0.77536700000000003</v>
      </c>
      <c r="L58" s="169">
        <v>0.65700000000000003</v>
      </c>
      <c r="M58" s="262">
        <v>1.0442</v>
      </c>
      <c r="N58" s="275"/>
      <c r="O58" s="275"/>
      <c r="P58" s="416"/>
      <c r="Q58" s="276"/>
    </row>
    <row r="59" spans="2:18" ht="17.5">
      <c r="B59" s="260" t="s">
        <v>112</v>
      </c>
      <c r="C59" s="53" t="s">
        <v>141</v>
      </c>
      <c r="D59" s="43" t="s">
        <v>11</v>
      </c>
      <c r="E59" s="111">
        <v>1895.2861559999999</v>
      </c>
      <c r="F59" s="111">
        <v>1890.4232360000001</v>
      </c>
      <c r="G59" s="261">
        <v>1920.7506819999987</v>
      </c>
      <c r="H59" s="261">
        <v>1909.97468399999</v>
      </c>
      <c r="I59" s="169">
        <v>1929.8620329999967</v>
      </c>
      <c r="J59" s="169">
        <v>1948.6192479999995</v>
      </c>
      <c r="K59" s="169">
        <v>1961.8505169999976</v>
      </c>
      <c r="L59" s="169">
        <v>2012.817334999999</v>
      </c>
      <c r="M59" s="262">
        <v>2038.5402809999975</v>
      </c>
      <c r="N59" s="169">
        <v>2099.7688484</v>
      </c>
      <c r="O59" s="169">
        <v>2148.6905700000002</v>
      </c>
      <c r="P59" s="413">
        <v>2211.3980700000002</v>
      </c>
      <c r="Q59" s="170">
        <v>2251.7557300000003</v>
      </c>
      <c r="R59" s="178"/>
    </row>
    <row r="60" spans="2:18" ht="17.5">
      <c r="B60" s="260" t="s">
        <v>186</v>
      </c>
      <c r="C60" s="105" t="s">
        <v>123</v>
      </c>
      <c r="D60" s="43" t="s">
        <v>11</v>
      </c>
      <c r="E60" s="107">
        <f t="shared" ref="E60:N60" si="9">E26+E27</f>
        <v>323.29759999999982</v>
      </c>
      <c r="F60" s="107">
        <f t="shared" si="9"/>
        <v>323.6659499999999</v>
      </c>
      <c r="G60" s="263">
        <f t="shared" si="9"/>
        <v>336.07846321664965</v>
      </c>
      <c r="H60" s="263">
        <f t="shared" si="9"/>
        <v>329.79102099999977</v>
      </c>
      <c r="I60" s="264">
        <f t="shared" si="9"/>
        <v>319.80856099999971</v>
      </c>
      <c r="J60" s="264">
        <f t="shared" si="9"/>
        <v>318.47392824940562</v>
      </c>
      <c r="K60" s="264">
        <f t="shared" si="9"/>
        <v>320.81970919999941</v>
      </c>
      <c r="L60" s="264">
        <f t="shared" si="9"/>
        <v>330.32861299999945</v>
      </c>
      <c r="M60" s="265">
        <f t="shared" si="9"/>
        <v>334.10955290499965</v>
      </c>
      <c r="N60" s="264">
        <f t="shared" si="9"/>
        <v>316.07224100000002</v>
      </c>
      <c r="O60" s="264">
        <f>O26+O27</f>
        <v>317.94376999999997</v>
      </c>
      <c r="P60" s="414">
        <f>P26+P27</f>
        <v>323.88656999999995</v>
      </c>
      <c r="Q60" s="266">
        <f>Q26+Q27</f>
        <v>322.55239999999992</v>
      </c>
      <c r="R60" s="145"/>
    </row>
    <row r="61" spans="2:18" ht="17.5">
      <c r="B61" s="260" t="s">
        <v>187</v>
      </c>
      <c r="C61" s="105" t="s">
        <v>123</v>
      </c>
      <c r="D61" s="43" t="s">
        <v>11</v>
      </c>
      <c r="E61" s="107">
        <f t="shared" ref="E61:O61" si="10">E28+E29</f>
        <v>20.21512899999999</v>
      </c>
      <c r="F61" s="107">
        <f t="shared" si="10"/>
        <v>19.943711999999991</v>
      </c>
      <c r="G61" s="263">
        <f t="shared" si="10"/>
        <v>21.379994999999987</v>
      </c>
      <c r="H61" s="263">
        <f t="shared" si="10"/>
        <v>23.525342999999992</v>
      </c>
      <c r="I61" s="264">
        <f t="shared" si="10"/>
        <v>23.747965000000001</v>
      </c>
      <c r="J61" s="264">
        <f t="shared" si="10"/>
        <v>25.853874999999977</v>
      </c>
      <c r="K61" s="264">
        <f t="shared" si="10"/>
        <v>28.208913999999975</v>
      </c>
      <c r="L61" s="264">
        <f t="shared" si="10"/>
        <v>32.421625999999968</v>
      </c>
      <c r="M61" s="265">
        <f t="shared" si="10"/>
        <v>37.185907279999952</v>
      </c>
      <c r="N61" s="264">
        <f t="shared" si="10"/>
        <v>37.71627299999998</v>
      </c>
      <c r="O61" s="264">
        <f t="shared" si="10"/>
        <v>40.681249999999999</v>
      </c>
      <c r="P61" s="414">
        <f>P28+P29</f>
        <v>47.269030000000001</v>
      </c>
      <c r="Q61" s="266">
        <f t="shared" ref="Q61" si="11">Q28+Q29</f>
        <v>48.952559999999998</v>
      </c>
    </row>
    <row r="62" spans="2:18" ht="17.5">
      <c r="B62" s="260" t="s">
        <v>188</v>
      </c>
      <c r="C62" s="105" t="s">
        <v>123</v>
      </c>
      <c r="D62" s="43" t="s">
        <v>11</v>
      </c>
      <c r="E62" s="107">
        <f t="shared" ref="E62:O62" si="12">E30+E36</f>
        <v>484.92438599999997</v>
      </c>
      <c r="F62" s="107">
        <f t="shared" si="12"/>
        <v>507.81369299999892</v>
      </c>
      <c r="G62" s="263">
        <f t="shared" si="12"/>
        <v>603.52641799999913</v>
      </c>
      <c r="H62" s="263">
        <f t="shared" si="12"/>
        <v>637.893171999998</v>
      </c>
      <c r="I62" s="264">
        <f t="shared" si="12"/>
        <v>655.67706999999905</v>
      </c>
      <c r="J62" s="264">
        <f t="shared" si="12"/>
        <v>667.94209400000011</v>
      </c>
      <c r="K62" s="264">
        <f t="shared" si="12"/>
        <v>678.53460899999845</v>
      </c>
      <c r="L62" s="264">
        <f t="shared" si="12"/>
        <v>696.51250199999902</v>
      </c>
      <c r="M62" s="265">
        <f t="shared" si="12"/>
        <v>707.34677399999896</v>
      </c>
      <c r="N62" s="264">
        <f t="shared" si="12"/>
        <v>759.7160230900065</v>
      </c>
      <c r="O62" s="264">
        <f t="shared" si="12"/>
        <v>782.23369000000002</v>
      </c>
      <c r="P62" s="414">
        <f>P30+P36</f>
        <v>760.96821999999963</v>
      </c>
      <c r="Q62" s="266">
        <f>Q30+Q36</f>
        <v>830.66271999999992</v>
      </c>
    </row>
    <row r="63" spans="2:18" ht="17.5">
      <c r="B63" s="260" t="s">
        <v>189</v>
      </c>
      <c r="C63" s="105" t="s">
        <v>123</v>
      </c>
      <c r="D63" s="43" t="s">
        <v>11</v>
      </c>
      <c r="E63" s="107">
        <f>E37+E58</f>
        <v>226.224278</v>
      </c>
      <c r="F63" s="107">
        <f t="shared" ref="F63:O63" si="13">F37+F58</f>
        <v>230.45970499999999</v>
      </c>
      <c r="G63" s="263">
        <f t="shared" si="13"/>
        <v>233.79793299999966</v>
      </c>
      <c r="H63" s="263">
        <f t="shared" si="13"/>
        <v>244.08526200000003</v>
      </c>
      <c r="I63" s="264">
        <f t="shared" si="13"/>
        <v>252.22768899999966</v>
      </c>
      <c r="J63" s="264">
        <f t="shared" si="13"/>
        <v>256.44872499999957</v>
      </c>
      <c r="K63" s="264">
        <f t="shared" si="13"/>
        <v>266.680182</v>
      </c>
      <c r="L63" s="264">
        <f t="shared" si="13"/>
        <v>280.54104499999994</v>
      </c>
      <c r="M63" s="265">
        <f t="shared" si="13"/>
        <v>296.36629699999952</v>
      </c>
      <c r="N63" s="264">
        <f>N37+N58</f>
        <v>309.02581795648524</v>
      </c>
      <c r="O63" s="264">
        <f t="shared" si="13"/>
        <v>319.38232999999997</v>
      </c>
      <c r="P63" s="414">
        <f t="shared" ref="P63" si="14">P37+P58</f>
        <v>325.23880000000003</v>
      </c>
      <c r="Q63" s="266">
        <f>Q37+Q58</f>
        <v>352.88397999999984</v>
      </c>
    </row>
    <row r="64" spans="2:18" ht="17.5">
      <c r="B64" s="260" t="s">
        <v>190</v>
      </c>
      <c r="C64" s="105" t="s">
        <v>123</v>
      </c>
      <c r="D64" s="43" t="s">
        <v>11</v>
      </c>
      <c r="E64" s="107">
        <f>E59</f>
        <v>1895.2861559999999</v>
      </c>
      <c r="F64" s="107">
        <f t="shared" ref="F64:O64" si="15">F59</f>
        <v>1890.4232360000001</v>
      </c>
      <c r="G64" s="263">
        <f t="shared" si="15"/>
        <v>1920.7506819999987</v>
      </c>
      <c r="H64" s="263">
        <f t="shared" si="15"/>
        <v>1909.97468399999</v>
      </c>
      <c r="I64" s="264">
        <f t="shared" si="15"/>
        <v>1929.8620329999967</v>
      </c>
      <c r="J64" s="264">
        <f t="shared" si="15"/>
        <v>1948.6192479999995</v>
      </c>
      <c r="K64" s="264">
        <f t="shared" si="15"/>
        <v>1961.8505169999976</v>
      </c>
      <c r="L64" s="264">
        <f t="shared" si="15"/>
        <v>2012.817334999999</v>
      </c>
      <c r="M64" s="265">
        <f t="shared" si="15"/>
        <v>2038.5402809999975</v>
      </c>
      <c r="N64" s="264">
        <f t="shared" si="15"/>
        <v>2099.7688484</v>
      </c>
      <c r="O64" s="264">
        <f t="shared" si="15"/>
        <v>2148.6905700000002</v>
      </c>
      <c r="P64" s="414">
        <f t="shared" ref="P64" si="16">P59</f>
        <v>2211.3980700000002</v>
      </c>
      <c r="Q64" s="266">
        <f>Q59</f>
        <v>2251.7557300000003</v>
      </c>
      <c r="R64" s="145"/>
    </row>
    <row r="65" spans="2:18" ht="17.5">
      <c r="B65" s="260" t="s">
        <v>146</v>
      </c>
      <c r="C65" s="105" t="s">
        <v>123</v>
      </c>
      <c r="D65" s="43" t="s">
        <v>3</v>
      </c>
      <c r="E65" s="279">
        <f>E60/E$25</f>
        <v>0.10959435536729939</v>
      </c>
      <c r="F65" s="279">
        <f t="shared" ref="F65:N65" si="17">F60/F$25</f>
        <v>0.10889387491308535</v>
      </c>
      <c r="G65" s="280">
        <f t="shared" si="17"/>
        <v>0.10787188266925278</v>
      </c>
      <c r="H65" s="280">
        <f t="shared" si="17"/>
        <v>0.10485302543624815</v>
      </c>
      <c r="I65" s="281">
        <f t="shared" si="17"/>
        <v>0.10052689683897141</v>
      </c>
      <c r="J65" s="281">
        <f t="shared" si="17"/>
        <v>9.8986783823458935E-2</v>
      </c>
      <c r="K65" s="281">
        <f t="shared" si="17"/>
        <v>9.8512215500246733E-2</v>
      </c>
      <c r="L65" s="281">
        <f t="shared" si="17"/>
        <v>9.8454969508046219E-2</v>
      </c>
      <c r="M65" s="281">
        <f t="shared" si="17"/>
        <v>9.7789872084327434E-2</v>
      </c>
      <c r="N65" s="281">
        <f t="shared" si="17"/>
        <v>8.9614651457253849E-2</v>
      </c>
      <c r="O65" s="281">
        <f>O60/O$25</f>
        <v>8.7966790393502317E-2</v>
      </c>
      <c r="P65" s="417">
        <f>P60/P$25</f>
        <v>8.8186663233588217E-2</v>
      </c>
      <c r="Q65" s="282">
        <f>Q60/Q$25</f>
        <v>8.4624831006414394E-2</v>
      </c>
    </row>
    <row r="66" spans="2:18" ht="17.5">
      <c r="B66" s="260" t="s">
        <v>147</v>
      </c>
      <c r="C66" s="105" t="s">
        <v>123</v>
      </c>
      <c r="D66" s="43" t="s">
        <v>3</v>
      </c>
      <c r="E66" s="279">
        <f>E61/E$25</f>
        <v>6.8527079428421355E-3</v>
      </c>
      <c r="F66" s="279">
        <f t="shared" ref="F66:O66" si="18">F61/F$25</f>
        <v>6.7098441458874458E-3</v>
      </c>
      <c r="G66" s="280">
        <f t="shared" si="18"/>
        <v>6.8623865094933978E-3</v>
      </c>
      <c r="H66" s="280">
        <f t="shared" si="18"/>
        <v>7.4795953525231464E-3</v>
      </c>
      <c r="I66" s="281">
        <f t="shared" si="18"/>
        <v>7.4648071340732676E-3</v>
      </c>
      <c r="J66" s="281">
        <f t="shared" si="18"/>
        <v>8.035797309032951E-3</v>
      </c>
      <c r="K66" s="281">
        <f t="shared" si="18"/>
        <v>8.6619448098294392E-3</v>
      </c>
      <c r="L66" s="281">
        <f t="shared" si="18"/>
        <v>9.663317295590378E-3</v>
      </c>
      <c r="M66" s="281">
        <f t="shared" si="18"/>
        <v>1.0883870528792774E-2</v>
      </c>
      <c r="N66" s="281">
        <f t="shared" si="18"/>
        <v>1.0693538440668164E-2</v>
      </c>
      <c r="O66" s="281">
        <f t="shared" si="18"/>
        <v>1.1255446180611329E-2</v>
      </c>
      <c r="P66" s="417">
        <f t="shared" ref="P66" si="19">P61/P$25</f>
        <v>1.2870240436299593E-2</v>
      </c>
      <c r="Q66" s="282">
        <f>Q61/Q$25</f>
        <v>1.2843191113541123E-2</v>
      </c>
    </row>
    <row r="67" spans="2:18" ht="17.5">
      <c r="B67" s="260" t="s">
        <v>149</v>
      </c>
      <c r="C67" s="105" t="s">
        <v>123</v>
      </c>
      <c r="D67" s="43" t="s">
        <v>3</v>
      </c>
      <c r="E67" s="279">
        <f>E62/E$25</f>
        <v>0.16438407054538445</v>
      </c>
      <c r="F67" s="279">
        <f t="shared" ref="F67:O67" si="20">F62/F$25</f>
        <v>0.17084837241821027</v>
      </c>
      <c r="G67" s="280">
        <f t="shared" si="20"/>
        <v>0.19371527210394904</v>
      </c>
      <c r="H67" s="280">
        <f t="shared" si="20"/>
        <v>0.20281033967060266</v>
      </c>
      <c r="I67" s="281">
        <f t="shared" si="20"/>
        <v>0.20610199104572752</v>
      </c>
      <c r="J67" s="281">
        <f t="shared" si="20"/>
        <v>0.20760707172735385</v>
      </c>
      <c r="K67" s="281">
        <f t="shared" si="20"/>
        <v>0.20835361952314752</v>
      </c>
      <c r="L67" s="281">
        <f t="shared" si="20"/>
        <v>0.20759666116596143</v>
      </c>
      <c r="M67" s="281">
        <f t="shared" si="20"/>
        <v>0.20703194490338225</v>
      </c>
      <c r="N67" s="281">
        <f t="shared" si="20"/>
        <v>0.21539913280680015</v>
      </c>
      <c r="O67" s="281">
        <f t="shared" si="20"/>
        <v>0.21642376275202965</v>
      </c>
      <c r="P67" s="417">
        <f t="shared" ref="P67" si="21">P62/P$25</f>
        <v>0.20719367323135085</v>
      </c>
      <c r="Q67" s="282">
        <f>Q62/Q$25</f>
        <v>0.21793262832125426</v>
      </c>
    </row>
    <row r="68" spans="2:18" ht="17.5">
      <c r="B68" s="260" t="s">
        <v>150</v>
      </c>
      <c r="C68" s="105" t="s">
        <v>123</v>
      </c>
      <c r="D68" s="43" t="s">
        <v>3</v>
      </c>
      <c r="E68" s="279">
        <f>E63/E$25</f>
        <v>7.668755943701018E-2</v>
      </c>
      <c r="F68" s="279">
        <f t="shared" ref="F68:O68" si="22">F63/F$25</f>
        <v>7.7535651460329869E-2</v>
      </c>
      <c r="G68" s="280">
        <f t="shared" si="22"/>
        <v>7.5042664012159019E-2</v>
      </c>
      <c r="H68" s="280">
        <f t="shared" si="22"/>
        <v>7.7603926594166775E-2</v>
      </c>
      <c r="I68" s="281">
        <f t="shared" si="22"/>
        <v>7.9283890314728475E-2</v>
      </c>
      <c r="J68" s="281">
        <f t="shared" si="22"/>
        <v>7.9708359936757248E-2</v>
      </c>
      <c r="K68" s="281">
        <f t="shared" si="22"/>
        <v>8.1887910266920313E-2</v>
      </c>
      <c r="L68" s="281">
        <f t="shared" si="22"/>
        <v>8.3615705525426173E-2</v>
      </c>
      <c r="M68" s="281">
        <f t="shared" si="22"/>
        <v>8.674287227571835E-2</v>
      </c>
      <c r="N68" s="281">
        <f t="shared" si="22"/>
        <v>8.7616808359526899E-2</v>
      </c>
      <c r="O68" s="281">
        <f t="shared" si="22"/>
        <v>8.8364802614306265E-2</v>
      </c>
      <c r="P68" s="417">
        <f t="shared" ref="P68" si="23">P63/P$25</f>
        <v>8.8554843524683222E-2</v>
      </c>
      <c r="Q68" s="282">
        <f>Q63/Q$25</f>
        <v>9.2582622768799458E-2</v>
      </c>
    </row>
    <row r="69" spans="2:18" ht="17.5">
      <c r="B69" s="260" t="s">
        <v>148</v>
      </c>
      <c r="C69" s="105" t="s">
        <v>123</v>
      </c>
      <c r="D69" s="43" t="s">
        <v>3</v>
      </c>
      <c r="E69" s="279">
        <f>E64/E$25</f>
        <v>0.64248130670746373</v>
      </c>
      <c r="F69" s="279">
        <f t="shared" ref="F69:N69" si="24">F64/F$25</f>
        <v>0.6360122570624871</v>
      </c>
      <c r="G69" s="280">
        <f t="shared" si="24"/>
        <v>0.61650779470514572</v>
      </c>
      <c r="H69" s="280">
        <f t="shared" si="24"/>
        <v>0.60725311294645923</v>
      </c>
      <c r="I69" s="281">
        <f t="shared" si="24"/>
        <v>0.60662241466649947</v>
      </c>
      <c r="J69" s="281">
        <f t="shared" si="24"/>
        <v>0.60566198720339692</v>
      </c>
      <c r="K69" s="281">
        <f t="shared" si="24"/>
        <v>0.60241386475882575</v>
      </c>
      <c r="L69" s="281">
        <f t="shared" si="24"/>
        <v>0.59992341427199369</v>
      </c>
      <c r="M69" s="281">
        <f t="shared" si="24"/>
        <v>0.59665637089527113</v>
      </c>
      <c r="N69" s="281">
        <f t="shared" si="24"/>
        <v>0.59533875197273423</v>
      </c>
      <c r="O69" s="281">
        <f>O64/O$25</f>
        <v>0.59448692135620418</v>
      </c>
      <c r="P69" s="417">
        <f>P64/P$25</f>
        <v>0.60211146412923811</v>
      </c>
      <c r="Q69" s="282">
        <f>Q64/Q$25</f>
        <v>0.59077051703529526</v>
      </c>
    </row>
    <row r="70" spans="2:18" ht="17.5">
      <c r="B70" s="260" t="s">
        <v>113</v>
      </c>
      <c r="C70" s="53" t="s">
        <v>289</v>
      </c>
      <c r="D70" s="43" t="s">
        <v>11</v>
      </c>
      <c r="E70" s="283"/>
      <c r="F70" s="283"/>
      <c r="G70" s="284"/>
      <c r="H70" s="284"/>
      <c r="I70" s="285"/>
      <c r="J70" s="285"/>
      <c r="K70" s="166">
        <v>0.22562000000000001</v>
      </c>
      <c r="L70" s="166">
        <v>0.141595</v>
      </c>
      <c r="M70" s="286">
        <v>0</v>
      </c>
      <c r="N70" s="166">
        <v>6.0200000000000004E-2</v>
      </c>
      <c r="O70" s="287">
        <v>0.58299999999999996</v>
      </c>
      <c r="P70" s="423">
        <v>0.47899999999999998</v>
      </c>
      <c r="Q70" s="505">
        <v>0.50700000000000001</v>
      </c>
    </row>
    <row r="71" spans="2:18" ht="17.5">
      <c r="B71" s="260" t="s">
        <v>114</v>
      </c>
      <c r="C71" s="53" t="s">
        <v>289</v>
      </c>
      <c r="D71" s="43" t="s">
        <v>11</v>
      </c>
      <c r="E71" s="283"/>
      <c r="F71" s="283"/>
      <c r="G71" s="284"/>
      <c r="H71" s="284"/>
      <c r="I71" s="285"/>
      <c r="J71" s="285"/>
      <c r="K71" s="166">
        <v>0.30818000000000001</v>
      </c>
      <c r="L71" s="166">
        <v>2.3319999999999999</v>
      </c>
      <c r="M71" s="286">
        <v>0.36369999999999997</v>
      </c>
      <c r="N71" s="166">
        <v>0.87130590000000008</v>
      </c>
      <c r="O71" s="287">
        <v>1.3226</v>
      </c>
      <c r="P71" s="423">
        <v>0.46800000000000003</v>
      </c>
      <c r="Q71" s="505">
        <v>0.8</v>
      </c>
    </row>
    <row r="72" spans="2:18" ht="17.5">
      <c r="B72" s="260" t="s">
        <v>115</v>
      </c>
      <c r="C72" s="53" t="s">
        <v>289</v>
      </c>
      <c r="D72" s="43" t="s">
        <v>11</v>
      </c>
      <c r="E72" s="283"/>
      <c r="F72" s="283"/>
      <c r="G72" s="284"/>
      <c r="H72" s="284"/>
      <c r="I72" s="285"/>
      <c r="J72" s="285"/>
      <c r="K72" s="166">
        <v>2.128E-2</v>
      </c>
      <c r="L72" s="166">
        <v>2.9100000000000001E-2</v>
      </c>
      <c r="M72" s="286">
        <v>2.6943999999999999</v>
      </c>
      <c r="N72" s="166">
        <v>3.7845260000000018</v>
      </c>
      <c r="O72" s="287">
        <v>3.5241709000000001</v>
      </c>
      <c r="P72" s="423">
        <v>3.0310000000000001</v>
      </c>
      <c r="Q72" s="505">
        <v>3.4430000000000001</v>
      </c>
    </row>
    <row r="73" spans="2:18">
      <c r="B73" s="234" t="s">
        <v>102</v>
      </c>
      <c r="C73" s="53" t="s">
        <v>123</v>
      </c>
      <c r="D73" s="43" t="s">
        <v>11</v>
      </c>
      <c r="E73" s="283"/>
      <c r="F73" s="283"/>
      <c r="G73" s="284"/>
      <c r="H73" s="284"/>
      <c r="I73" s="285"/>
      <c r="J73" s="285"/>
      <c r="K73" s="288">
        <f t="shared" ref="K73:O73" si="25">SUM(K70:K72)</f>
        <v>0.55508000000000002</v>
      </c>
      <c r="L73" s="288">
        <f t="shared" si="25"/>
        <v>2.5026950000000001</v>
      </c>
      <c r="M73" s="288">
        <f t="shared" si="25"/>
        <v>3.0581</v>
      </c>
      <c r="N73" s="288">
        <f t="shared" si="25"/>
        <v>4.7160319000000017</v>
      </c>
      <c r="O73" s="288">
        <f t="shared" si="25"/>
        <v>5.4297709000000003</v>
      </c>
      <c r="P73" s="568">
        <f>SUM(P70:P72)</f>
        <v>3.9780000000000002</v>
      </c>
      <c r="Q73" s="569">
        <f>SUM(Q70:Q72)</f>
        <v>4.75</v>
      </c>
      <c r="R73" s="178"/>
    </row>
    <row r="74" spans="2:18">
      <c r="B74" s="234" t="s">
        <v>103</v>
      </c>
      <c r="C74" s="53" t="s">
        <v>123</v>
      </c>
      <c r="D74" s="43" t="s">
        <v>11</v>
      </c>
      <c r="E74" s="288">
        <f t="shared" ref="E74:M74" si="26">E26+E28+E30+E37+E59</f>
        <v>2695.9152319999998</v>
      </c>
      <c r="F74" s="288">
        <f t="shared" si="26"/>
        <v>2720.4964549999986</v>
      </c>
      <c r="G74" s="288">
        <f t="shared" si="26"/>
        <v>2850.1187519999976</v>
      </c>
      <c r="H74" s="288">
        <f t="shared" si="26"/>
        <v>2884.6964919999878</v>
      </c>
      <c r="I74" s="288">
        <f t="shared" si="26"/>
        <v>2934.0917419999951</v>
      </c>
      <c r="J74" s="288">
        <f t="shared" si="26"/>
        <v>2966.3077509999994</v>
      </c>
      <c r="K74" s="288">
        <f t="shared" si="26"/>
        <v>2998.1653289999958</v>
      </c>
      <c r="L74" s="288">
        <f t="shared" si="26"/>
        <v>3086.3777589999977</v>
      </c>
      <c r="M74" s="288">
        <f t="shared" si="26"/>
        <v>3141.4126289999958</v>
      </c>
      <c r="N74" s="288">
        <f>N26+N28+N30+N37+N59</f>
        <v>3282.5840944464917</v>
      </c>
      <c r="O74" s="288">
        <f t="shared" ref="O74" si="27">O26+O28+O30+O37+O59</f>
        <v>3369.0366000000004</v>
      </c>
      <c r="P74" s="418">
        <f t="shared" ref="P74" si="28">P26+P28+P30+P37+P59</f>
        <v>3422.2815099999998</v>
      </c>
      <c r="Q74" s="289">
        <f>Q26+Q28+Q30+Q37+Q59</f>
        <v>3564.6925700000002</v>
      </c>
      <c r="R74" s="145"/>
    </row>
    <row r="75" spans="2:18" ht="15" thickBot="1">
      <c r="B75" s="290" t="s">
        <v>104</v>
      </c>
      <c r="C75" s="76" t="s">
        <v>123</v>
      </c>
      <c r="D75" s="77" t="s">
        <v>11</v>
      </c>
      <c r="E75" s="291">
        <f>E27+E29+E36+E58</f>
        <v>254.03231699999998</v>
      </c>
      <c r="F75" s="291">
        <f t="shared" ref="F75:O75" si="29">F27+F29+F36+F58</f>
        <v>251.80984100000001</v>
      </c>
      <c r="G75" s="291">
        <f t="shared" si="29"/>
        <v>265.41473921664982</v>
      </c>
      <c r="H75" s="291">
        <f t="shared" si="29"/>
        <v>260.57299</v>
      </c>
      <c r="I75" s="291">
        <f t="shared" si="29"/>
        <v>247.23157599999985</v>
      </c>
      <c r="J75" s="291">
        <f t="shared" si="29"/>
        <v>251.03011924940571</v>
      </c>
      <c r="K75" s="291">
        <f t="shared" si="29"/>
        <v>257.9286021999996</v>
      </c>
      <c r="L75" s="291">
        <f t="shared" si="29"/>
        <v>266.24336199999965</v>
      </c>
      <c r="M75" s="291">
        <f t="shared" si="29"/>
        <v>272.13618318499965</v>
      </c>
      <c r="N75" s="291">
        <f t="shared" si="29"/>
        <v>239.71510900000001</v>
      </c>
      <c r="O75" s="291">
        <f t="shared" si="29"/>
        <v>239.89500999999998</v>
      </c>
      <c r="P75" s="419">
        <f>P27+P29+P36+P58</f>
        <v>246.47918000000004</v>
      </c>
      <c r="Q75" s="292">
        <f>Q27+Q29+Q36+Q58</f>
        <v>242.11481999999998</v>
      </c>
      <c r="R75" s="293"/>
    </row>
    <row r="77" spans="2:18" ht="15" thickBot="1"/>
    <row r="78" spans="2:18" ht="18">
      <c r="B78" s="228" t="s">
        <v>7</v>
      </c>
      <c r="C78" s="248"/>
      <c r="D78" s="39" t="s">
        <v>0</v>
      </c>
      <c r="E78" s="229">
        <v>2009</v>
      </c>
      <c r="F78" s="229">
        <v>2010</v>
      </c>
      <c r="G78" s="229">
        <v>2011</v>
      </c>
      <c r="H78" s="229">
        <v>2012</v>
      </c>
      <c r="I78" s="229">
        <v>2013</v>
      </c>
      <c r="J78" s="229">
        <v>2014</v>
      </c>
      <c r="K78" s="229">
        <v>2015</v>
      </c>
      <c r="L78" s="229">
        <v>2016</v>
      </c>
      <c r="M78" s="229">
        <v>2017</v>
      </c>
      <c r="N78" s="229">
        <v>2018</v>
      </c>
      <c r="O78" s="229">
        <v>2019</v>
      </c>
      <c r="P78" s="404">
        <v>2020</v>
      </c>
      <c r="Q78" s="230">
        <v>2021</v>
      </c>
    </row>
    <row r="79" spans="2:18" ht="15.5">
      <c r="B79" s="231" t="s">
        <v>6</v>
      </c>
      <c r="C79" s="249"/>
      <c r="D79" s="43"/>
      <c r="E79" s="232">
        <v>2010</v>
      </c>
      <c r="F79" s="232">
        <v>2011</v>
      </c>
      <c r="G79" s="232">
        <v>2012</v>
      </c>
      <c r="H79" s="232">
        <v>2013</v>
      </c>
      <c r="I79" s="232">
        <v>2014</v>
      </c>
      <c r="J79" s="232">
        <v>2015</v>
      </c>
      <c r="K79" s="232">
        <v>2016</v>
      </c>
      <c r="L79" s="232">
        <v>2017</v>
      </c>
      <c r="M79" s="232">
        <v>2018</v>
      </c>
      <c r="N79" s="232">
        <v>2019</v>
      </c>
      <c r="O79" s="232">
        <v>2020</v>
      </c>
      <c r="P79" s="405">
        <v>2021</v>
      </c>
      <c r="Q79" s="233">
        <v>2022</v>
      </c>
    </row>
    <row r="80" spans="2:18" ht="30" customHeight="1">
      <c r="B80" s="620" t="s">
        <v>191</v>
      </c>
      <c r="C80" s="621"/>
      <c r="D80" s="621"/>
      <c r="E80" s="621"/>
      <c r="F80" s="621"/>
      <c r="G80" s="621"/>
      <c r="H80" s="621"/>
      <c r="I80" s="621"/>
      <c r="J80" s="621"/>
      <c r="K80" s="621"/>
      <c r="L80" s="621"/>
      <c r="M80" s="621"/>
      <c r="N80" s="621"/>
      <c r="O80" s="621"/>
      <c r="P80" s="622"/>
      <c r="Q80" s="623"/>
    </row>
    <row r="81" spans="2:20">
      <c r="B81" s="294" t="s">
        <v>92</v>
      </c>
      <c r="C81" s="105" t="s">
        <v>123</v>
      </c>
      <c r="D81" s="106" t="s">
        <v>3</v>
      </c>
      <c r="E81" s="295">
        <f>E25/'Mise sur le marché'!E15</f>
        <v>0.62881459343090917</v>
      </c>
      <c r="F81" s="295">
        <f>F25/'Mise sur le marché'!F15</f>
        <v>0.63793774733878361</v>
      </c>
      <c r="G81" s="295">
        <f>G25/'Mise sur le marché'!G15</f>
        <v>0.65892131170135582</v>
      </c>
      <c r="H81" s="295">
        <f>H25/'Mise sur le marché'!H15</f>
        <v>0.65516171770211939</v>
      </c>
      <c r="I81" s="295">
        <f>I25/'Mise sur le marché'!I15</f>
        <v>0.67304710349082086</v>
      </c>
      <c r="J81" s="295">
        <f>J25/'Mise sur le marché'!J15</f>
        <v>0.66787722180710152</v>
      </c>
      <c r="K81" s="295">
        <f>K25/'Mise sur le marché'!K15</f>
        <v>0.66668617784060746</v>
      </c>
      <c r="L81" s="295">
        <f>L25/'Mise sur le marché'!L15</f>
        <v>0.67625562689187713</v>
      </c>
      <c r="M81" s="295">
        <f>M25/'Mise sur le marché'!M15</f>
        <v>0.67536905562855953</v>
      </c>
      <c r="N81" s="295">
        <f>N25/'Mise sur le marché'!N15</f>
        <v>0.67961093343200107</v>
      </c>
      <c r="O81" s="295">
        <f>O25/'Mise sur le marché'!O15</f>
        <v>0.68844758616621138</v>
      </c>
      <c r="P81" s="295">
        <f>P25/'Mise sur le marché'!P15</f>
        <v>0.69672877913354192</v>
      </c>
      <c r="Q81" s="473">
        <f>Q25/'Mise sur le marché'!Q15</f>
        <v>0.72298243389172667</v>
      </c>
      <c r="R81" s="178"/>
      <c r="S81" s="12"/>
      <c r="T81" s="12"/>
    </row>
    <row r="82" spans="2:20">
      <c r="B82" s="294" t="s">
        <v>14</v>
      </c>
      <c r="C82" s="105" t="s">
        <v>123</v>
      </c>
      <c r="D82" s="106" t="s">
        <v>3</v>
      </c>
      <c r="E82" s="296">
        <f>Acier!E14</f>
        <v>1.1327382887215391</v>
      </c>
      <c r="F82" s="296">
        <f>Acier!F14</f>
        <v>1.1512795849728998</v>
      </c>
      <c r="G82" s="296">
        <f>Acier!G14</f>
        <v>1.1711689805435486</v>
      </c>
      <c r="H82" s="296">
        <f>Acier!H14</f>
        <v>1.0513776304127633</v>
      </c>
      <c r="I82" s="296">
        <f>Acier!I14</f>
        <v>1.0680390926841465</v>
      </c>
      <c r="J82" s="296">
        <f>Acier!J14</f>
        <v>1.1423888637643234</v>
      </c>
      <c r="K82" s="296">
        <f>Acier!K14</f>
        <v>1.1707639367757421</v>
      </c>
      <c r="L82" s="296">
        <f>Acier!L14</f>
        <v>1.2985012226469295</v>
      </c>
      <c r="M82" s="296">
        <f>Acier!M14</f>
        <v>1.324500957749595</v>
      </c>
      <c r="N82" s="296">
        <f>Acier!N14</f>
        <v>1.2388434191781987</v>
      </c>
      <c r="O82" s="296">
        <f>Acier!O14</f>
        <v>1.2392811395768621</v>
      </c>
      <c r="P82" s="296">
        <f>Acier!P14</f>
        <v>1.2084524530953713</v>
      </c>
      <c r="Q82" s="474">
        <f>Acier!Q14</f>
        <v>1.2675863710439332</v>
      </c>
      <c r="R82" s="178"/>
      <c r="S82" s="12"/>
      <c r="T82" s="12"/>
    </row>
    <row r="83" spans="2:20">
      <c r="B83" s="294" t="s">
        <v>15</v>
      </c>
      <c r="C83" s="105" t="s">
        <v>123</v>
      </c>
      <c r="D83" s="106" t="s">
        <v>3</v>
      </c>
      <c r="E83" s="296">
        <f>Aluminium!E14</f>
        <v>0.35074618898682819</v>
      </c>
      <c r="F83" s="296">
        <f>Aluminium!F14</f>
        <v>0.33343835883677464</v>
      </c>
      <c r="G83" s="296">
        <f>Aluminium!G14</f>
        <v>0.3178949569858176</v>
      </c>
      <c r="H83" s="296">
        <f>Aluminium!H14</f>
        <v>0.35115520211353668</v>
      </c>
      <c r="I83" s="296">
        <f>Aluminium!I14</f>
        <v>0.3592314532188412</v>
      </c>
      <c r="J83" s="296">
        <f>Aluminium!J14</f>
        <v>0.38503841791076571</v>
      </c>
      <c r="K83" s="296">
        <f>Aluminium!K14</f>
        <v>0.39185947953684663</v>
      </c>
      <c r="L83" s="296">
        <f>Aluminium!L14</f>
        <v>0.41205826830431103</v>
      </c>
      <c r="M83" s="296">
        <f>Aluminium!M14</f>
        <v>0.44219781213639053</v>
      </c>
      <c r="N83" s="296">
        <f>Aluminium!N14</f>
        <v>0.44512649889340011</v>
      </c>
      <c r="O83" s="296">
        <f>Aluminium!O14</f>
        <v>0.46610850909888613</v>
      </c>
      <c r="P83" s="296">
        <f>Aluminium!P14</f>
        <v>0.55680805092427865</v>
      </c>
      <c r="Q83" s="474">
        <f>Aluminium!Q14</f>
        <v>0.58016028537790887</v>
      </c>
      <c r="R83" s="178"/>
      <c r="S83" s="12"/>
      <c r="T83" s="12"/>
    </row>
    <row r="84" spans="2:20">
      <c r="B84" s="294" t="s">
        <v>16</v>
      </c>
      <c r="C84" s="105" t="s">
        <v>123</v>
      </c>
      <c r="D84" s="106" t="s">
        <v>3</v>
      </c>
      <c r="E84" s="296">
        <f>'Papier-Carton'!E19</f>
        <v>0.53656792219634097</v>
      </c>
      <c r="F84" s="296">
        <f>'Papier-Carton'!F19</f>
        <v>0.55120487879141933</v>
      </c>
      <c r="G84" s="296">
        <f>'Papier-Carton'!G19</f>
        <v>0.63641378640855073</v>
      </c>
      <c r="H84" s="296">
        <f>'Papier-Carton'!H19</f>
        <v>0.62699800045628862</v>
      </c>
      <c r="I84" s="296">
        <f>'Papier-Carton'!I19</f>
        <v>0.6399139881018383</v>
      </c>
      <c r="J84" s="296">
        <f>'Papier-Carton'!J19</f>
        <v>0.63769435717818013</v>
      </c>
      <c r="K84" s="296">
        <f>'Papier-Carton'!K19</f>
        <v>0.64479029871895333</v>
      </c>
      <c r="L84" s="296">
        <f>'Papier-Carton'!L19</f>
        <v>0.63789246776093433</v>
      </c>
      <c r="M84" s="296">
        <f>'Papier-Carton'!M19</f>
        <v>0.63163054693090226</v>
      </c>
      <c r="N84" s="296">
        <f>'Papier-Carton'!N19</f>
        <v>0.66849161621236863</v>
      </c>
      <c r="O84" s="296">
        <f>'Papier-Carton'!O19</f>
        <v>0.68083438956855491</v>
      </c>
      <c r="P84" s="296">
        <f>'Papier-Carton'!P19</f>
        <v>0.65151534558571045</v>
      </c>
      <c r="Q84" s="474">
        <f>'Papier-Carton'!Q19</f>
        <v>0.71748982681661977</v>
      </c>
      <c r="R84" s="178"/>
      <c r="S84" s="12"/>
      <c r="T84" s="12"/>
    </row>
    <row r="85" spans="2:20" ht="17.5">
      <c r="B85" s="297" t="s">
        <v>68</v>
      </c>
      <c r="C85" s="105" t="s">
        <v>123</v>
      </c>
      <c r="D85" s="106" t="s">
        <v>3</v>
      </c>
      <c r="E85" s="298">
        <f>'Papier-Carton'!E20</f>
        <v>0.38085281318681319</v>
      </c>
      <c r="F85" s="298">
        <f>'Papier-Carton'!F20</f>
        <v>0.38619792409611509</v>
      </c>
      <c r="G85" s="298">
        <f>'Papier-Carton'!G20</f>
        <v>0.41065308646642623</v>
      </c>
      <c r="H85" s="298">
        <f>'Papier-Carton'!H20</f>
        <v>0.42295447925051055</v>
      </c>
      <c r="I85" s="298">
        <f>'Papier-Carton'!I20</f>
        <v>0.45381702907174626</v>
      </c>
      <c r="J85" s="298">
        <f>'Papier-Carton'!J20</f>
        <v>0.46156698746236696</v>
      </c>
      <c r="K85" s="298">
        <f>'Papier-Carton'!K20</f>
        <v>0.46850555526116522</v>
      </c>
      <c r="L85" s="298">
        <f>'Papier-Carton'!L20</f>
        <v>0.47283738995144192</v>
      </c>
      <c r="M85" s="298">
        <f>'Papier-Carton'!M20</f>
        <v>0.49849462923068799</v>
      </c>
      <c r="N85" s="298">
        <f>'Papier-Carton'!N20</f>
        <v>0.4934652473861359</v>
      </c>
      <c r="O85" s="298">
        <f>'Papier-Carton'!O20</f>
        <v>0.5462412508271377</v>
      </c>
      <c r="P85" s="298">
        <f>'Papier-Carton'!P20</f>
        <v>0.51681082538045486</v>
      </c>
      <c r="Q85" s="475">
        <f>'Papier-Carton'!Q20</f>
        <v>0.56771350569748102</v>
      </c>
      <c r="R85" s="178"/>
      <c r="S85" s="12"/>
      <c r="T85" s="12"/>
    </row>
    <row r="86" spans="2:20" ht="17.5">
      <c r="B86" s="297" t="s">
        <v>69</v>
      </c>
      <c r="C86" s="105" t="s">
        <v>123</v>
      </c>
      <c r="D86" s="106" t="s">
        <v>3</v>
      </c>
      <c r="E86" s="298">
        <f>'Papier-Carton'!E21</f>
        <v>0.54648370700783855</v>
      </c>
      <c r="F86" s="298">
        <f>'Papier-Carton'!F21</f>
        <v>0.56017502267151453</v>
      </c>
      <c r="G86" s="298">
        <f>'Papier-Carton'!G21</f>
        <v>0.64868822763350353</v>
      </c>
      <c r="H86" s="298">
        <f>'Papier-Carton'!H21</f>
        <v>0.63468052198447944</v>
      </c>
      <c r="I86" s="298">
        <f>'Papier-Carton'!I21</f>
        <v>0.64570331877323117</v>
      </c>
      <c r="J86" s="298">
        <f>'Papier-Carton'!J21</f>
        <v>0.64003101978319976</v>
      </c>
      <c r="K86" s="298">
        <f>'Papier-Carton'!K21</f>
        <v>0.6428930501890312</v>
      </c>
      <c r="L86" s="298">
        <f>'Papier-Carton'!L21</f>
        <v>0.63438924720474998</v>
      </c>
      <c r="M86" s="298">
        <f>'Papier-Carton'!M21</f>
        <v>0.62577720270049264</v>
      </c>
      <c r="N86" s="298">
        <f>'Papier-Carton'!N21</f>
        <v>0.68018346482665959</v>
      </c>
      <c r="O86" s="298">
        <f>'Papier-Carton'!O21</f>
        <v>0.68912262343104158</v>
      </c>
      <c r="P86" s="298">
        <f>'Papier-Carton'!P21</f>
        <v>0.66029178780843667</v>
      </c>
      <c r="Q86" s="475">
        <f>'Papier-Carton'!Q21</f>
        <v>0.72703233916578813</v>
      </c>
      <c r="R86" s="178"/>
      <c r="S86" s="12"/>
      <c r="T86" s="12"/>
    </row>
    <row r="87" spans="2:20">
      <c r="B87" s="294" t="s">
        <v>17</v>
      </c>
      <c r="C87" s="105" t="s">
        <v>123</v>
      </c>
      <c r="D87" s="106" t="s">
        <v>3</v>
      </c>
      <c r="E87" s="296">
        <f>Plastique!E38</f>
        <v>0.21924413702548318</v>
      </c>
      <c r="F87" s="296">
        <f>Plastique!F38</f>
        <v>0.21725934059075364</v>
      </c>
      <c r="G87" s="296">
        <f>Plastique!G38</f>
        <v>0.21922924133759453</v>
      </c>
      <c r="H87" s="296">
        <f>Plastique!H38</f>
        <v>0.22588404989492711</v>
      </c>
      <c r="I87" s="296">
        <f>Plastique!I38</f>
        <v>0.23169227443443766</v>
      </c>
      <c r="J87" s="296">
        <f>Plastique!J38</f>
        <v>0.23217768500621408</v>
      </c>
      <c r="K87" s="296">
        <f>Plastique!K38</f>
        <v>0.23705253299458037</v>
      </c>
      <c r="L87" s="296">
        <f>Plastique!L38</f>
        <v>0.24456081722020578</v>
      </c>
      <c r="M87" s="296">
        <f>Plastique!M38</f>
        <v>0.25589701165607798</v>
      </c>
      <c r="N87" s="296">
        <f>Plastique!N38</f>
        <v>0.26865013990538206</v>
      </c>
      <c r="O87" s="296">
        <f>Plastique!O38</f>
        <v>0.27778742657443461</v>
      </c>
      <c r="P87" s="296">
        <f>Plastique!P38</f>
        <v>0.27907190724237574</v>
      </c>
      <c r="Q87" s="474">
        <f>Plastique!Q38</f>
        <v>0.30067306096192764</v>
      </c>
      <c r="R87" s="178"/>
      <c r="S87" s="12"/>
      <c r="T87" s="12"/>
    </row>
    <row r="88" spans="2:20" ht="17.5">
      <c r="B88" s="297" t="s">
        <v>238</v>
      </c>
      <c r="C88" s="105" t="s">
        <v>123</v>
      </c>
      <c r="D88" s="106" t="s">
        <v>3</v>
      </c>
      <c r="E88" s="298">
        <f>Plastique!E39</f>
        <v>0.3943967071430835</v>
      </c>
      <c r="F88" s="298">
        <f>Plastique!F39</f>
        <v>0.44764224621926973</v>
      </c>
      <c r="G88" s="298">
        <f>Plastique!G39</f>
        <v>0.45165702468376961</v>
      </c>
      <c r="H88" s="298">
        <f>Plastique!H39</f>
        <v>0.52167625623649228</v>
      </c>
      <c r="I88" s="298">
        <f>Plastique!I39</f>
        <v>0.53580299152751742</v>
      </c>
      <c r="J88" s="298">
        <f>Plastique!J39</f>
        <v>0.53831580395337308</v>
      </c>
      <c r="K88" s="298">
        <f>Plastique!K39</f>
        <v>0.5406555402254678</v>
      </c>
      <c r="L88" s="298">
        <f>Plastique!L39</f>
        <v>0.54725426230703567</v>
      </c>
      <c r="M88" s="298">
        <f>Plastique!M39</f>
        <v>0.5485844192235918</v>
      </c>
      <c r="N88" s="298">
        <f>Plastique!N39</f>
        <v>0.57428250542846981</v>
      </c>
      <c r="O88" s="298">
        <f>Plastique!O39</f>
        <v>0.56531492250975768</v>
      </c>
      <c r="P88" s="298">
        <f>Plastique!P39</f>
        <v>0.5700733190776589</v>
      </c>
      <c r="Q88" s="475">
        <f>Plastique!Q39</f>
        <v>0.57895353939497696</v>
      </c>
      <c r="R88" s="178"/>
      <c r="S88" s="12"/>
      <c r="T88" s="12"/>
    </row>
    <row r="89" spans="2:20" ht="17.5">
      <c r="B89" s="297" t="s">
        <v>239</v>
      </c>
      <c r="C89" s="105" t="s">
        <v>123</v>
      </c>
      <c r="D89" s="106" t="s">
        <v>3</v>
      </c>
      <c r="E89" s="298">
        <f>Plastique!E40</f>
        <v>5.168773548416012E-3</v>
      </c>
      <c r="F89" s="298">
        <f>Plastique!F40</f>
        <v>3.598716466628538E-3</v>
      </c>
      <c r="G89" s="298">
        <f>Plastique!G40</f>
        <v>3.9373670948059398E-3</v>
      </c>
      <c r="H89" s="298">
        <f>Plastique!H40</f>
        <v>9.1030474922353197E-3</v>
      </c>
      <c r="I89" s="298">
        <f>Plastique!I40</f>
        <v>1.1819536880477956E-2</v>
      </c>
      <c r="J89" s="298">
        <f>Plastique!J40</f>
        <v>1.0190254029084021E-2</v>
      </c>
      <c r="K89" s="298">
        <f>Plastique!K40</f>
        <v>1.3512374223297895E-2</v>
      </c>
      <c r="L89" s="298">
        <f>Plastique!L40</f>
        <v>2.6047226612038777E-2</v>
      </c>
      <c r="M89" s="298">
        <f>Plastique!M40</f>
        <v>3.8676059093494787E-2</v>
      </c>
      <c r="N89" s="298">
        <f>Plastique!N40</f>
        <v>4.2183274478843645E-2</v>
      </c>
      <c r="O89" s="298">
        <f>Plastique!O40</f>
        <v>6.3003559701123119E-2</v>
      </c>
      <c r="P89" s="298">
        <f>Plastique!P40</f>
        <v>7.4674631608393827E-2</v>
      </c>
      <c r="Q89" s="475">
        <f>Plastique!Q40</f>
        <v>0.10592302853058524</v>
      </c>
      <c r="R89" s="178"/>
      <c r="S89" s="12"/>
      <c r="T89" s="12"/>
    </row>
    <row r="90" spans="2:20">
      <c r="B90" s="294" t="s">
        <v>18</v>
      </c>
      <c r="C90" s="105" t="s">
        <v>123</v>
      </c>
      <c r="D90" s="106" t="s">
        <v>3</v>
      </c>
      <c r="E90" s="296">
        <f>Verre!E13</f>
        <v>0.79173735619398222</v>
      </c>
      <c r="F90" s="296">
        <f>Verre!F13</f>
        <v>0.81529492986041641</v>
      </c>
      <c r="G90" s="296">
        <f>Verre!G13</f>
        <v>0.82051315306669537</v>
      </c>
      <c r="H90" s="296">
        <f>Verre!H13</f>
        <v>0.83185076866232222</v>
      </c>
      <c r="I90" s="296">
        <f>Verre!I13</f>
        <v>0.87015631822251682</v>
      </c>
      <c r="J90" s="296">
        <f>Verre!J13</f>
        <v>0.85138304975020329</v>
      </c>
      <c r="K90" s="296">
        <f>Verre!K13</f>
        <v>0.84203642509192167</v>
      </c>
      <c r="L90" s="296">
        <f>Verre!L13</f>
        <v>0.85366229861587162</v>
      </c>
      <c r="M90" s="296">
        <f>Verre!M13</f>
        <v>0.84897102966381943</v>
      </c>
      <c r="N90" s="296">
        <f>Verre!N13</f>
        <v>0.83474019859679049</v>
      </c>
      <c r="O90" s="296">
        <f>Verre!O13</f>
        <v>0.83985046029637911</v>
      </c>
      <c r="P90" s="296">
        <f>Verre!P13</f>
        <v>0.87134916454337452</v>
      </c>
      <c r="Q90" s="474">
        <f>Verre!Q13</f>
        <v>0.87970056892497028</v>
      </c>
      <c r="R90" s="178"/>
      <c r="S90" s="12"/>
      <c r="T90" s="12"/>
    </row>
    <row r="91" spans="2:20" ht="15" thickBot="1">
      <c r="B91" s="290" t="s">
        <v>41</v>
      </c>
      <c r="C91" s="299"/>
      <c r="D91" s="77" t="s">
        <v>3</v>
      </c>
      <c r="E91" s="77"/>
      <c r="F91" s="77"/>
      <c r="G91" s="300"/>
      <c r="H91" s="300"/>
      <c r="I91" s="301">
        <v>0.75</v>
      </c>
      <c r="J91" s="301">
        <v>0.75</v>
      </c>
      <c r="K91" s="301">
        <v>0.75</v>
      </c>
      <c r="L91" s="301">
        <v>0.75</v>
      </c>
      <c r="M91" s="301">
        <v>0.75</v>
      </c>
      <c r="N91" s="301">
        <v>0.75</v>
      </c>
      <c r="O91" s="301">
        <v>0.75</v>
      </c>
      <c r="P91" s="420">
        <v>0.75</v>
      </c>
      <c r="Q91" s="302">
        <v>0.75</v>
      </c>
      <c r="R91" s="94"/>
    </row>
    <row r="93" spans="2:20" ht="15" thickBot="1"/>
    <row r="94" spans="2:20" ht="18">
      <c r="B94" s="228" t="s">
        <v>7</v>
      </c>
      <c r="C94" s="248"/>
      <c r="D94" s="39" t="s">
        <v>0</v>
      </c>
      <c r="E94" s="229">
        <v>2009</v>
      </c>
      <c r="F94" s="229">
        <v>2010</v>
      </c>
      <c r="G94" s="229">
        <v>2011</v>
      </c>
      <c r="H94" s="229">
        <v>2012</v>
      </c>
      <c r="I94" s="229">
        <v>2013</v>
      </c>
      <c r="J94" s="229">
        <v>2014</v>
      </c>
      <c r="K94" s="229">
        <v>2015</v>
      </c>
      <c r="L94" s="229">
        <v>2016</v>
      </c>
      <c r="M94" s="229">
        <v>2017</v>
      </c>
      <c r="N94" s="229">
        <v>2018</v>
      </c>
      <c r="O94" s="229">
        <v>2019</v>
      </c>
      <c r="P94" s="404">
        <v>2020</v>
      </c>
      <c r="Q94" s="230">
        <v>2021</v>
      </c>
    </row>
    <row r="95" spans="2:20" ht="15.5">
      <c r="B95" s="231" t="s">
        <v>6</v>
      </c>
      <c r="C95" s="249"/>
      <c r="D95" s="43"/>
      <c r="E95" s="232">
        <v>2010</v>
      </c>
      <c r="F95" s="232">
        <v>2011</v>
      </c>
      <c r="G95" s="232">
        <v>2012</v>
      </c>
      <c r="H95" s="232">
        <v>2013</v>
      </c>
      <c r="I95" s="232">
        <v>2014</v>
      </c>
      <c r="J95" s="232">
        <v>2015</v>
      </c>
      <c r="K95" s="232">
        <v>2016</v>
      </c>
      <c r="L95" s="232">
        <v>2017</v>
      </c>
      <c r="M95" s="232">
        <v>2018</v>
      </c>
      <c r="N95" s="232">
        <v>2019</v>
      </c>
      <c r="O95" s="232">
        <v>2020</v>
      </c>
      <c r="P95" s="405">
        <v>2021</v>
      </c>
      <c r="Q95" s="233">
        <v>2022</v>
      </c>
    </row>
    <row r="96" spans="2:20" ht="30" customHeight="1">
      <c r="B96" s="616" t="s">
        <v>24</v>
      </c>
      <c r="C96" s="617"/>
      <c r="D96" s="617"/>
      <c r="E96" s="617"/>
      <c r="F96" s="617"/>
      <c r="G96" s="617"/>
      <c r="H96" s="617"/>
      <c r="I96" s="617"/>
      <c r="J96" s="617"/>
      <c r="K96" s="617"/>
      <c r="L96" s="617"/>
      <c r="M96" s="617"/>
      <c r="N96" s="617"/>
      <c r="O96" s="617"/>
      <c r="P96" s="618"/>
      <c r="Q96" s="619"/>
    </row>
    <row r="97" spans="2:18" ht="15" thickBot="1">
      <c r="B97" s="303" t="s">
        <v>73</v>
      </c>
      <c r="C97" s="76" t="s">
        <v>289</v>
      </c>
      <c r="D97" s="77" t="s">
        <v>11</v>
      </c>
      <c r="E97" s="304"/>
      <c r="F97" s="304"/>
      <c r="G97" s="305"/>
      <c r="H97" s="305"/>
      <c r="I97" s="306"/>
      <c r="J97" s="306"/>
      <c r="K97" s="306"/>
      <c r="L97" s="306"/>
      <c r="M97" s="305"/>
      <c r="N97" s="307">
        <v>106.015631</v>
      </c>
      <c r="O97" s="307">
        <v>114.42971199999999</v>
      </c>
      <c r="P97" s="506" t="s">
        <v>313</v>
      </c>
      <c r="Q97" s="507" t="s">
        <v>313</v>
      </c>
      <c r="R97" s="36" t="s">
        <v>357</v>
      </c>
    </row>
    <row r="98" spans="2:18">
      <c r="R98" s="36" t="s">
        <v>358</v>
      </c>
    </row>
  </sheetData>
  <sheetProtection algorithmName="SHA-512" hashValue="RjlwH6cKoOQJNM4AhbYkLCn5BB5a0TV0SEJL5BP4aq3AnEWh6OirsdQ76bYks0xojcbIkS783FjVQgvHLnYMzg==" saltValue="HYR2covnHQxiGlEjG1+UMA==" spinCount="100000" sheet="1" scenarios="1"/>
  <mergeCells count="5">
    <mergeCell ref="B6:Q6"/>
    <mergeCell ref="B24:Q24"/>
    <mergeCell ref="B80:Q80"/>
    <mergeCell ref="B96:Q96"/>
    <mergeCell ref="B20:Q20"/>
  </mergeCells>
  <conditionalFormatting sqref="C25:C75 C81:C90 C97 C7:C15 C21:C23">
    <cfRule type="cellIs" dxfId="137" priority="1" operator="equal">
      <formula>"SYDEREP"</formula>
    </cfRule>
    <cfRule type="cellIs" dxfId="136" priority="2" operator="equal">
      <formula>"Calcul"</formula>
    </cfRule>
    <cfRule type="cellIs" dxfId="135" priority="3" operator="equal">
      <formula>"EO"</formula>
    </cfRule>
  </conditionalFormatting>
  <pageMargins left="0.7" right="0.7" top="0.75" bottom="0.75" header="0.3" footer="0.3"/>
  <pageSetup orientation="portrait" r:id="rId1"/>
  <ignoredErrors>
    <ignoredError sqref="K73:M73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166"/>
  <sheetViews>
    <sheetView zoomScale="80" zoomScaleNormal="80" zoomScaleSheetLayoutView="80" workbookViewId="0">
      <pane xSplit="2" topLeftCell="N1" activePane="topRight" state="frozen"/>
      <selection activeCell="K2" sqref="K2"/>
      <selection pane="topRight"/>
    </sheetView>
  </sheetViews>
  <sheetFormatPr baseColWidth="10" defaultColWidth="11.453125" defaultRowHeight="14.5"/>
  <cols>
    <col min="1" max="1" width="7.453125" style="2" customWidth="1"/>
    <col min="2" max="2" width="110.54296875" style="36" customWidth="1"/>
    <col min="3" max="3" width="14.453125" style="36" customWidth="1"/>
    <col min="4" max="4" width="9.54296875" style="130" customWidth="1"/>
    <col min="5" max="5" width="16.81640625" style="36" customWidth="1"/>
    <col min="6" max="17" width="12.54296875" style="36" customWidth="1"/>
    <col min="18" max="19" width="11.453125" style="36" customWidth="1"/>
    <col min="20" max="20" width="13.54296875" style="2" bestFit="1" customWidth="1"/>
    <col min="21" max="22" width="14.453125" style="2" bestFit="1" customWidth="1"/>
    <col min="23" max="23" width="14.54296875" style="2" bestFit="1" customWidth="1"/>
    <col min="24" max="24" width="15.453125" style="2" bestFit="1" customWidth="1"/>
    <col min="25" max="27" width="14.54296875" style="2" bestFit="1" customWidth="1"/>
    <col min="28" max="29" width="14.453125" style="2" bestFit="1" customWidth="1"/>
    <col min="30" max="30" width="11.54296875" style="2" bestFit="1" customWidth="1"/>
    <col min="31" max="16384" width="11.453125" style="2"/>
  </cols>
  <sheetData>
    <row r="1" spans="2:23">
      <c r="R1" s="91"/>
    </row>
    <row r="2" spans="2:23" ht="23">
      <c r="B2" s="37" t="s">
        <v>486</v>
      </c>
      <c r="C2" s="37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2:23" ht="15" thickBot="1"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</row>
    <row r="4" spans="2:23" ht="18">
      <c r="B4" s="131" t="s">
        <v>7</v>
      </c>
      <c r="C4" s="39" t="s">
        <v>140</v>
      </c>
      <c r="D4" s="39" t="s">
        <v>0</v>
      </c>
      <c r="E4" s="164">
        <v>2009</v>
      </c>
      <c r="F4" s="164">
        <v>2010</v>
      </c>
      <c r="G4" s="164">
        <v>2011</v>
      </c>
      <c r="H4" s="164">
        <v>2012</v>
      </c>
      <c r="I4" s="164">
        <v>2013</v>
      </c>
      <c r="J4" s="164">
        <v>2014</v>
      </c>
      <c r="K4" s="164">
        <v>2015</v>
      </c>
      <c r="L4" s="164">
        <v>2016</v>
      </c>
      <c r="M4" s="164">
        <v>2017</v>
      </c>
      <c r="N4" s="164">
        <v>2018</v>
      </c>
      <c r="O4" s="164">
        <v>2019</v>
      </c>
      <c r="P4" s="421">
        <v>2020</v>
      </c>
      <c r="Q4" s="132">
        <v>2021</v>
      </c>
    </row>
    <row r="5" spans="2:23" ht="20.149999999999999" customHeight="1">
      <c r="B5" s="133" t="s">
        <v>6</v>
      </c>
      <c r="C5" s="43"/>
      <c r="D5" s="43"/>
      <c r="E5" s="165">
        <v>2010</v>
      </c>
      <c r="F5" s="165">
        <v>2011</v>
      </c>
      <c r="G5" s="165">
        <v>2012</v>
      </c>
      <c r="H5" s="165">
        <v>2013</v>
      </c>
      <c r="I5" s="165">
        <v>2014</v>
      </c>
      <c r="J5" s="165">
        <v>2015</v>
      </c>
      <c r="K5" s="165">
        <v>2016</v>
      </c>
      <c r="L5" s="165">
        <v>2017</v>
      </c>
      <c r="M5" s="165">
        <v>2018</v>
      </c>
      <c r="N5" s="165">
        <v>2019</v>
      </c>
      <c r="O5" s="165">
        <v>2020</v>
      </c>
      <c r="P5" s="454">
        <v>2021</v>
      </c>
      <c r="Q5" s="134">
        <v>2022</v>
      </c>
    </row>
    <row r="6" spans="2:23" ht="24.65" customHeight="1">
      <c r="B6" s="627" t="s">
        <v>122</v>
      </c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9"/>
    </row>
    <row r="7" spans="2:23">
      <c r="B7" s="135" t="s">
        <v>340</v>
      </c>
      <c r="C7" s="53" t="s">
        <v>289</v>
      </c>
      <c r="D7" s="43" t="s">
        <v>9</v>
      </c>
      <c r="E7" s="166">
        <v>413.59491913000085</v>
      </c>
      <c r="F7" s="166">
        <v>518.06912303000013</v>
      </c>
      <c r="G7" s="166">
        <v>568.083122</v>
      </c>
      <c r="H7" s="166">
        <v>653.19011894974005</v>
      </c>
      <c r="I7" s="166">
        <v>665.29158163821694</v>
      </c>
      <c r="J7" s="166">
        <v>669.92498686808915</v>
      </c>
      <c r="K7" s="166">
        <v>671.48903451046317</v>
      </c>
      <c r="L7" s="166">
        <v>653.73675707211999</v>
      </c>
      <c r="M7" s="166">
        <v>665.07940341308927</v>
      </c>
      <c r="N7" s="166">
        <v>709.54177086000141</v>
      </c>
      <c r="O7" s="166">
        <v>732.79357444000198</v>
      </c>
      <c r="P7" s="452">
        <v>783.34738202000096</v>
      </c>
      <c r="Q7" s="174">
        <v>847.21636173000013</v>
      </c>
      <c r="R7" s="168"/>
      <c r="S7" s="168"/>
    </row>
    <row r="8" spans="2:23">
      <c r="B8" s="135" t="s">
        <v>478</v>
      </c>
      <c r="C8" s="572" t="s">
        <v>289</v>
      </c>
      <c r="D8" s="573" t="s">
        <v>9</v>
      </c>
      <c r="E8" s="574">
        <v>1.8127196299999833</v>
      </c>
      <c r="F8" s="574">
        <v>17.30612412</v>
      </c>
      <c r="G8" s="574">
        <v>16.031395644044323</v>
      </c>
      <c r="H8" s="574">
        <v>12.549791597687467</v>
      </c>
      <c r="I8" s="574">
        <v>13.543981504819534</v>
      </c>
      <c r="J8" s="574">
        <v>19.584605593327453</v>
      </c>
      <c r="K8" s="574">
        <v>5.5319786590122959</v>
      </c>
      <c r="L8" s="574">
        <v>6.3803649941059177</v>
      </c>
      <c r="M8" s="574">
        <v>3.4536700157600038</v>
      </c>
      <c r="N8" s="574">
        <v>-11.063902864923485</v>
      </c>
      <c r="O8" s="574">
        <v>11.866031217454548</v>
      </c>
      <c r="P8" s="452">
        <v>-8.5639184121471459</v>
      </c>
      <c r="Q8" s="177"/>
      <c r="R8" s="168"/>
      <c r="S8" s="168"/>
    </row>
    <row r="9" spans="2:23">
      <c r="B9" s="135" t="s">
        <v>479</v>
      </c>
      <c r="C9" s="572" t="s">
        <v>123</v>
      </c>
      <c r="D9" s="573" t="s">
        <v>9</v>
      </c>
      <c r="E9" s="575">
        <f>E7+E8</f>
        <v>415.40763876000085</v>
      </c>
      <c r="F9" s="575">
        <f t="shared" ref="F9:Q9" si="0">F7+F8</f>
        <v>535.37524715000018</v>
      </c>
      <c r="G9" s="575">
        <f t="shared" si="0"/>
        <v>584.11451764404433</v>
      </c>
      <c r="H9" s="575">
        <f t="shared" si="0"/>
        <v>665.73991054742748</v>
      </c>
      <c r="I9" s="575">
        <f t="shared" si="0"/>
        <v>678.83556314303644</v>
      </c>
      <c r="J9" s="575">
        <f t="shared" si="0"/>
        <v>689.50959246141656</v>
      </c>
      <c r="K9" s="575">
        <f t="shared" si="0"/>
        <v>677.02101316947551</v>
      </c>
      <c r="L9" s="575">
        <f t="shared" si="0"/>
        <v>660.11712206622587</v>
      </c>
      <c r="M9" s="575">
        <f t="shared" si="0"/>
        <v>668.53307342884932</v>
      </c>
      <c r="N9" s="575">
        <f t="shared" si="0"/>
        <v>698.47786799507787</v>
      </c>
      <c r="O9" s="575">
        <f t="shared" si="0"/>
        <v>744.6596056574565</v>
      </c>
      <c r="P9" s="458">
        <f t="shared" si="0"/>
        <v>774.78346360785383</v>
      </c>
      <c r="Q9" s="576">
        <f t="shared" si="0"/>
        <v>847.21636173000013</v>
      </c>
      <c r="R9" s="168"/>
      <c r="S9" s="168"/>
    </row>
    <row r="10" spans="2:23">
      <c r="B10" s="135" t="s">
        <v>306</v>
      </c>
      <c r="C10" s="53" t="s">
        <v>289</v>
      </c>
      <c r="D10" s="43" t="s">
        <v>9</v>
      </c>
      <c r="E10" s="166">
        <v>4.5341038500000082</v>
      </c>
      <c r="F10" s="166">
        <v>12.242678731301567</v>
      </c>
      <c r="G10" s="166">
        <v>16.091682630000037</v>
      </c>
      <c r="H10" s="166">
        <v>21.082227240290649</v>
      </c>
      <c r="I10" s="166">
        <v>7.6938987661130795</v>
      </c>
      <c r="J10" s="166">
        <v>14.464862418509824</v>
      </c>
      <c r="K10" s="166">
        <v>28.208884494294466</v>
      </c>
      <c r="L10" s="166">
        <v>4.035068071696287</v>
      </c>
      <c r="M10" s="166">
        <v>2.4189482315300666</v>
      </c>
      <c r="N10" s="166">
        <v>-5.5121321178214657</v>
      </c>
      <c r="O10" s="166">
        <v>-24.191026382242967</v>
      </c>
      <c r="P10" s="452">
        <v>15.473027986296756</v>
      </c>
      <c r="Q10" s="174">
        <v>-15.454968607232445</v>
      </c>
      <c r="R10" s="167"/>
    </row>
    <row r="11" spans="2:23">
      <c r="B11" s="135" t="s">
        <v>314</v>
      </c>
      <c r="C11" s="53" t="s">
        <v>289</v>
      </c>
      <c r="D11" s="43" t="s">
        <v>9</v>
      </c>
      <c r="E11" s="166">
        <v>-0.54130957000086255</v>
      </c>
      <c r="F11" s="166">
        <v>0.50050768869834883</v>
      </c>
      <c r="G11" s="285"/>
      <c r="H11" s="285"/>
      <c r="I11" s="285"/>
      <c r="J11" s="285"/>
      <c r="K11" s="285"/>
      <c r="L11" s="285"/>
      <c r="M11" s="285"/>
      <c r="N11" s="166">
        <v>3.4950000000000002E-2</v>
      </c>
      <c r="O11" s="166">
        <v>9.8519789999999996E-2</v>
      </c>
      <c r="P11" s="452">
        <v>2.5038000000000001E-2</v>
      </c>
      <c r="Q11" s="174">
        <v>0</v>
      </c>
      <c r="R11" s="167"/>
    </row>
    <row r="12" spans="2:23">
      <c r="B12" s="135" t="s">
        <v>285</v>
      </c>
      <c r="C12" s="105" t="s">
        <v>123</v>
      </c>
      <c r="D12" s="43" t="s">
        <v>9</v>
      </c>
      <c r="E12" s="458">
        <f t="shared" ref="E12:K12" si="1">E7+E10+E11</f>
        <v>417.58771340999999</v>
      </c>
      <c r="F12" s="458">
        <f t="shared" si="1"/>
        <v>530.81230945000004</v>
      </c>
      <c r="G12" s="458">
        <f t="shared" si="1"/>
        <v>584.17480463000004</v>
      </c>
      <c r="H12" s="458">
        <f t="shared" si="1"/>
        <v>674.2723461900307</v>
      </c>
      <c r="I12" s="458">
        <f t="shared" si="1"/>
        <v>672.98548040433002</v>
      </c>
      <c r="J12" s="458">
        <f t="shared" si="1"/>
        <v>684.38984928659897</v>
      </c>
      <c r="K12" s="458">
        <f t="shared" si="1"/>
        <v>699.69791900475764</v>
      </c>
      <c r="L12" s="458">
        <f t="shared" ref="L12" si="2">L7+L10+L11</f>
        <v>657.77182514381627</v>
      </c>
      <c r="M12" s="458">
        <f t="shared" ref="M12:N12" si="3">M7+M10+M11</f>
        <v>667.49835164461933</v>
      </c>
      <c r="N12" s="458">
        <f t="shared" si="3"/>
        <v>704.06458874217992</v>
      </c>
      <c r="O12" s="458">
        <f>O7+O10+O11</f>
        <v>708.70106784775896</v>
      </c>
      <c r="P12" s="458">
        <f>P7+P10+P11</f>
        <v>798.84544800629772</v>
      </c>
      <c r="Q12" s="136">
        <f>Q7+Q10+Q11</f>
        <v>831.76139312276769</v>
      </c>
      <c r="R12" s="168"/>
    </row>
    <row r="13" spans="2:23">
      <c r="B13" s="135" t="s">
        <v>76</v>
      </c>
      <c r="C13" s="53" t="s">
        <v>289</v>
      </c>
      <c r="D13" s="43" t="s">
        <v>9</v>
      </c>
      <c r="E13" s="166">
        <v>-10.25407736</v>
      </c>
      <c r="F13" s="166">
        <v>-67.090084500000003</v>
      </c>
      <c r="G13" s="166">
        <v>-6.3428272900000611</v>
      </c>
      <c r="H13" s="166">
        <v>-42.633260579999998</v>
      </c>
      <c r="I13" s="166">
        <v>-27.080629460000001</v>
      </c>
      <c r="J13" s="166">
        <v>-49.232185080000001</v>
      </c>
      <c r="K13" s="166">
        <v>-40.159270420000702</v>
      </c>
      <c r="L13" s="166">
        <v>92.937390019996499</v>
      </c>
      <c r="M13" s="166">
        <v>58.274746795189401</v>
      </c>
      <c r="N13" s="166">
        <v>-10.040106271310096</v>
      </c>
      <c r="O13" s="166">
        <v>-3.7145599718715698</v>
      </c>
      <c r="P13" s="452">
        <v>-62.5082254970254</v>
      </c>
      <c r="Q13" s="174">
        <v>-60.534232636457403</v>
      </c>
    </row>
    <row r="14" spans="2:23">
      <c r="B14" s="135" t="s">
        <v>95</v>
      </c>
      <c r="C14" s="53" t="s">
        <v>289</v>
      </c>
      <c r="D14" s="43" t="s">
        <v>9</v>
      </c>
      <c r="E14" s="111">
        <v>29.739538702119262</v>
      </c>
      <c r="F14" s="111">
        <v>96.829623202119265</v>
      </c>
      <c r="G14" s="169">
        <v>103.17245049211932</v>
      </c>
      <c r="H14" s="169">
        <v>145.80571107211932</v>
      </c>
      <c r="I14" s="169">
        <v>172.88634053211933</v>
      </c>
      <c r="J14" s="169">
        <v>222.11852561211933</v>
      </c>
      <c r="K14" s="169">
        <v>262.27779603212002</v>
      </c>
      <c r="L14" s="169">
        <v>169.34040601212354</v>
      </c>
      <c r="M14" s="169">
        <v>111.06565921693414</v>
      </c>
      <c r="N14" s="169">
        <v>121.10576548824423</v>
      </c>
      <c r="O14" s="169">
        <v>124.82032546011581</v>
      </c>
      <c r="P14" s="452">
        <v>187.328550957141</v>
      </c>
      <c r="Q14" s="174">
        <v>247.862783593599</v>
      </c>
    </row>
    <row r="15" spans="2:23" ht="15" thickBot="1">
      <c r="B15" s="137" t="s">
        <v>53</v>
      </c>
      <c r="C15" s="76" t="s">
        <v>289</v>
      </c>
      <c r="D15" s="77" t="s">
        <v>9</v>
      </c>
      <c r="E15" s="123">
        <v>422.72627032000003</v>
      </c>
      <c r="F15" s="123">
        <v>469.56769649</v>
      </c>
      <c r="G15" s="171">
        <v>580.69086474999995</v>
      </c>
      <c r="H15" s="171">
        <v>634.43539480000004</v>
      </c>
      <c r="I15" s="171">
        <v>648.547677349997</v>
      </c>
      <c r="J15" s="171">
        <v>637.20056179000005</v>
      </c>
      <c r="K15" s="171">
        <v>661.65617481999902</v>
      </c>
      <c r="L15" s="171">
        <v>752.50025284999595</v>
      </c>
      <c r="M15" s="171">
        <v>721.63248449019</v>
      </c>
      <c r="N15" s="171">
        <v>694.45662409303202</v>
      </c>
      <c r="O15" s="171">
        <v>718.66117916185999</v>
      </c>
      <c r="P15" s="508">
        <v>737.90067076522996</v>
      </c>
      <c r="Q15" s="509">
        <v>772.77956300746405</v>
      </c>
      <c r="R15" s="168"/>
      <c r="S15" s="168"/>
      <c r="T15" s="11"/>
      <c r="U15" s="11"/>
      <c r="V15" s="11"/>
      <c r="W15" s="11"/>
    </row>
    <row r="17" spans="1:27" ht="15" thickBot="1">
      <c r="G17" s="588">
        <f>G21+G22</f>
        <v>379</v>
      </c>
      <c r="H17" s="580">
        <f t="shared" ref="H17:N17" si="4">H21+H22</f>
        <v>433</v>
      </c>
      <c r="I17" s="580">
        <f t="shared" si="4"/>
        <v>464</v>
      </c>
      <c r="J17" s="580">
        <f t="shared" si="4"/>
        <v>457.70000000000005</v>
      </c>
      <c r="K17" s="580">
        <f t="shared" si="4"/>
        <v>468</v>
      </c>
      <c r="L17" s="580">
        <f t="shared" si="4"/>
        <v>499</v>
      </c>
      <c r="M17" s="580">
        <f t="shared" si="4"/>
        <v>520.70000000000005</v>
      </c>
      <c r="N17" s="588">
        <f t="shared" si="4"/>
        <v>434.30005458516314</v>
      </c>
      <c r="O17" s="588">
        <f>O21+O22</f>
        <v>450.87467812</v>
      </c>
      <c r="P17" s="588">
        <f>P21+P22</f>
        <v>451.92464732999997</v>
      </c>
      <c r="Q17" s="588">
        <f>Q21+Q22</f>
        <v>499.63100379999997</v>
      </c>
      <c r="R17" s="178"/>
    </row>
    <row r="18" spans="1:27" ht="18">
      <c r="B18" s="131" t="s">
        <v>7</v>
      </c>
      <c r="C18" s="139"/>
      <c r="D18" s="39" t="s">
        <v>0</v>
      </c>
      <c r="E18" s="164">
        <v>2009</v>
      </c>
      <c r="F18" s="164">
        <v>2010</v>
      </c>
      <c r="G18" s="164">
        <v>2011</v>
      </c>
      <c r="H18" s="164">
        <v>2012</v>
      </c>
      <c r="I18" s="164">
        <v>2013</v>
      </c>
      <c r="J18" s="164">
        <v>2014</v>
      </c>
      <c r="K18" s="164">
        <v>2015</v>
      </c>
      <c r="L18" s="164">
        <v>2016</v>
      </c>
      <c r="M18" s="164">
        <v>2017</v>
      </c>
      <c r="N18" s="164">
        <v>2018</v>
      </c>
      <c r="O18" s="164">
        <v>2019</v>
      </c>
      <c r="P18" s="421">
        <v>2020</v>
      </c>
      <c r="Q18" s="132">
        <v>2021</v>
      </c>
      <c r="R18" s="178"/>
    </row>
    <row r="19" spans="1:27" ht="20.149999999999999" customHeight="1">
      <c r="B19" s="133" t="s">
        <v>6</v>
      </c>
      <c r="C19" s="148"/>
      <c r="D19" s="43"/>
      <c r="E19" s="165">
        <v>2009</v>
      </c>
      <c r="F19" s="165">
        <v>2010</v>
      </c>
      <c r="G19" s="165">
        <v>2011</v>
      </c>
      <c r="H19" s="165">
        <v>2012</v>
      </c>
      <c r="I19" s="165">
        <v>2013</v>
      </c>
      <c r="J19" s="165">
        <v>2014</v>
      </c>
      <c r="K19" s="165">
        <v>2015</v>
      </c>
      <c r="L19" s="165">
        <v>2016</v>
      </c>
      <c r="M19" s="165">
        <v>2017</v>
      </c>
      <c r="N19" s="165">
        <v>2018</v>
      </c>
      <c r="O19" s="165">
        <v>2019</v>
      </c>
      <c r="P19" s="454">
        <v>2020</v>
      </c>
      <c r="Q19" s="134">
        <v>2021</v>
      </c>
      <c r="R19" s="178"/>
    </row>
    <row r="20" spans="1:27" ht="26.15" customHeight="1">
      <c r="B20" s="624" t="s">
        <v>195</v>
      </c>
      <c r="C20" s="625"/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6"/>
    </row>
    <row r="21" spans="1:27">
      <c r="B21" s="135" t="s">
        <v>194</v>
      </c>
      <c r="C21" s="47" t="s">
        <v>141</v>
      </c>
      <c r="D21" s="43" t="s">
        <v>9</v>
      </c>
      <c r="E21" s="172"/>
      <c r="F21" s="172"/>
      <c r="G21" s="173">
        <v>273</v>
      </c>
      <c r="H21" s="173">
        <v>309</v>
      </c>
      <c r="I21" s="166">
        <v>327</v>
      </c>
      <c r="J21" s="166">
        <v>335.3</v>
      </c>
      <c r="K21" s="166">
        <v>341</v>
      </c>
      <c r="L21" s="166">
        <v>361</v>
      </c>
      <c r="M21" s="166">
        <v>375.1</v>
      </c>
      <c r="N21" s="173">
        <v>332.71956288882967</v>
      </c>
      <c r="O21" s="173">
        <v>346.05987082000001</v>
      </c>
      <c r="P21" s="452">
        <v>350.05612670999994</v>
      </c>
      <c r="Q21" s="174">
        <v>383.86452037999999</v>
      </c>
      <c r="R21" s="580" t="s">
        <v>347</v>
      </c>
      <c r="S21" s="175"/>
      <c r="T21" s="18"/>
      <c r="U21" s="18"/>
      <c r="V21" s="18"/>
      <c r="W21" s="18"/>
      <c r="X21" s="18"/>
      <c r="Y21" s="18"/>
      <c r="Z21" s="18"/>
      <c r="AA21" s="18"/>
    </row>
    <row r="22" spans="1:27">
      <c r="B22" s="135" t="s">
        <v>78</v>
      </c>
      <c r="C22" s="47" t="s">
        <v>141</v>
      </c>
      <c r="D22" s="43" t="s">
        <v>9</v>
      </c>
      <c r="E22" s="172"/>
      <c r="F22" s="172"/>
      <c r="G22" s="173">
        <v>106</v>
      </c>
      <c r="H22" s="173">
        <v>124</v>
      </c>
      <c r="I22" s="166">
        <v>137</v>
      </c>
      <c r="J22" s="166">
        <v>122.4</v>
      </c>
      <c r="K22" s="166">
        <v>127</v>
      </c>
      <c r="L22" s="166">
        <v>138</v>
      </c>
      <c r="M22" s="166">
        <v>145.6</v>
      </c>
      <c r="N22" s="173">
        <v>101.5804916963335</v>
      </c>
      <c r="O22" s="173">
        <v>104.8148073</v>
      </c>
      <c r="P22" s="452">
        <v>101.86852062</v>
      </c>
      <c r="Q22" s="174">
        <v>115.76648342</v>
      </c>
      <c r="R22" s="580" t="s">
        <v>155</v>
      </c>
    </row>
    <row r="23" spans="1:27" s="13" customFormat="1">
      <c r="A23" s="2"/>
      <c r="B23" s="135" t="s">
        <v>79</v>
      </c>
      <c r="C23" s="53" t="s">
        <v>289</v>
      </c>
      <c r="D23" s="43" t="s">
        <v>9</v>
      </c>
      <c r="E23" s="172"/>
      <c r="F23" s="172"/>
      <c r="G23" s="176">
        <v>21</v>
      </c>
      <c r="H23" s="176">
        <v>24</v>
      </c>
      <c r="I23" s="176">
        <v>25</v>
      </c>
      <c r="J23" s="176">
        <v>25.8</v>
      </c>
      <c r="K23" s="176">
        <v>26</v>
      </c>
      <c r="L23" s="176">
        <v>27</v>
      </c>
      <c r="M23" s="176">
        <v>27.2</v>
      </c>
      <c r="N23" s="172"/>
      <c r="O23" s="172"/>
      <c r="P23" s="455"/>
      <c r="Q23" s="177"/>
      <c r="R23" s="178"/>
      <c r="S23" s="142"/>
    </row>
    <row r="24" spans="1:27" s="13" customFormat="1">
      <c r="A24" s="2"/>
      <c r="B24" s="135" t="s">
        <v>166</v>
      </c>
      <c r="C24" s="47" t="s">
        <v>141</v>
      </c>
      <c r="D24" s="43" t="s">
        <v>9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3">
        <v>22.566667949999999</v>
      </c>
      <c r="O24" s="173">
        <v>22.683675950000001</v>
      </c>
      <c r="P24" s="452">
        <v>21.679514099999999</v>
      </c>
      <c r="Q24" s="174">
        <v>22.853778649999999</v>
      </c>
      <c r="R24" s="580" t="s">
        <v>153</v>
      </c>
      <c r="S24" s="142"/>
    </row>
    <row r="25" spans="1:27" s="13" customFormat="1">
      <c r="A25" s="2"/>
      <c r="B25" s="135" t="s">
        <v>80</v>
      </c>
      <c r="C25" s="53" t="s">
        <v>289</v>
      </c>
      <c r="D25" s="43" t="s">
        <v>9</v>
      </c>
      <c r="E25" s="172"/>
      <c r="F25" s="172"/>
      <c r="G25" s="176">
        <v>50</v>
      </c>
      <c r="H25" s="176">
        <v>57</v>
      </c>
      <c r="I25" s="176">
        <v>61</v>
      </c>
      <c r="J25" s="176">
        <v>66.900000000000006</v>
      </c>
      <c r="K25" s="176">
        <v>70</v>
      </c>
      <c r="L25" s="176">
        <v>71</v>
      </c>
      <c r="M25" s="176">
        <v>69.5</v>
      </c>
      <c r="N25" s="172"/>
      <c r="O25" s="172"/>
      <c r="P25" s="455"/>
      <c r="Q25" s="177"/>
      <c r="R25" s="580"/>
      <c r="S25" s="142"/>
    </row>
    <row r="26" spans="1:27" s="13" customFormat="1">
      <c r="A26" s="2"/>
      <c r="B26" s="135" t="s">
        <v>77</v>
      </c>
      <c r="C26" s="53" t="s">
        <v>289</v>
      </c>
      <c r="D26" s="43" t="s">
        <v>9</v>
      </c>
      <c r="E26" s="172"/>
      <c r="F26" s="172"/>
      <c r="G26" s="176">
        <v>3</v>
      </c>
      <c r="H26" s="176">
        <v>8</v>
      </c>
      <c r="I26" s="176">
        <v>9</v>
      </c>
      <c r="J26" s="176">
        <v>13.3</v>
      </c>
      <c r="K26" s="176">
        <v>15</v>
      </c>
      <c r="L26" s="176">
        <v>15</v>
      </c>
      <c r="M26" s="176">
        <v>16.5</v>
      </c>
      <c r="N26" s="172"/>
      <c r="O26" s="172"/>
      <c r="P26" s="455"/>
      <c r="Q26" s="177"/>
      <c r="R26" s="580"/>
      <c r="S26" s="142"/>
    </row>
    <row r="27" spans="1:27">
      <c r="B27" s="135" t="s">
        <v>143</v>
      </c>
      <c r="C27" s="53" t="s">
        <v>289</v>
      </c>
      <c r="D27" s="43" t="s">
        <v>9</v>
      </c>
      <c r="E27" s="172"/>
      <c r="F27" s="172"/>
      <c r="G27" s="173">
        <v>61</v>
      </c>
      <c r="H27" s="173">
        <v>20</v>
      </c>
      <c r="I27" s="173">
        <v>3</v>
      </c>
      <c r="J27" s="172"/>
      <c r="K27" s="172"/>
      <c r="L27" s="172"/>
      <c r="M27" s="172"/>
      <c r="N27" s="172"/>
      <c r="O27" s="172"/>
      <c r="P27" s="455"/>
      <c r="Q27" s="177"/>
      <c r="R27" s="580"/>
    </row>
    <row r="28" spans="1:27" s="13" customFormat="1">
      <c r="A28" s="2"/>
      <c r="B28" s="135" t="s">
        <v>161</v>
      </c>
      <c r="C28" s="53" t="s">
        <v>289</v>
      </c>
      <c r="D28" s="43" t="s">
        <v>9</v>
      </c>
      <c r="E28" s="172"/>
      <c r="F28" s="172"/>
      <c r="G28" s="176">
        <v>1</v>
      </c>
      <c r="H28" s="176">
        <v>1</v>
      </c>
      <c r="I28" s="176">
        <v>2</v>
      </c>
      <c r="J28" s="176">
        <v>1.3</v>
      </c>
      <c r="K28" s="176">
        <v>1</v>
      </c>
      <c r="L28" s="176">
        <v>1</v>
      </c>
      <c r="M28" s="176">
        <v>1</v>
      </c>
      <c r="N28" s="172"/>
      <c r="O28" s="172"/>
      <c r="P28" s="455"/>
      <c r="Q28" s="177"/>
      <c r="R28" s="580" t="s">
        <v>151</v>
      </c>
      <c r="S28" s="142"/>
    </row>
    <row r="29" spans="1:27" ht="29">
      <c r="B29" s="135" t="s">
        <v>162</v>
      </c>
      <c r="C29" s="47" t="s">
        <v>141</v>
      </c>
      <c r="D29" s="43" t="s">
        <v>9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3">
        <v>0</v>
      </c>
      <c r="O29" s="173">
        <v>0</v>
      </c>
      <c r="P29" s="452">
        <v>0</v>
      </c>
      <c r="Q29" s="174">
        <v>0</v>
      </c>
      <c r="R29" s="580" t="s">
        <v>160</v>
      </c>
    </row>
    <row r="30" spans="1:27">
      <c r="B30" s="135" t="s">
        <v>193</v>
      </c>
      <c r="C30" s="47" t="s">
        <v>141</v>
      </c>
      <c r="D30" s="43" t="s">
        <v>9</v>
      </c>
      <c r="E30" s="172"/>
      <c r="F30" s="172"/>
      <c r="G30" s="172"/>
      <c r="H30" s="172"/>
      <c r="I30" s="172"/>
      <c r="J30" s="172"/>
      <c r="K30" s="172"/>
      <c r="L30" s="172"/>
      <c r="M30" s="172"/>
      <c r="N30" s="173">
        <v>6.1037852129999992</v>
      </c>
      <c r="O30" s="173">
        <v>6.2358627000000002</v>
      </c>
      <c r="P30" s="452">
        <v>6.6156361200000013</v>
      </c>
      <c r="Q30" s="174">
        <v>6.5611102599999995</v>
      </c>
      <c r="R30" s="580" t="s">
        <v>157</v>
      </c>
    </row>
    <row r="31" spans="1:27" ht="29">
      <c r="B31" s="135" t="s">
        <v>163</v>
      </c>
      <c r="C31" s="47" t="s">
        <v>141</v>
      </c>
      <c r="D31" s="43" t="s">
        <v>9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3">
        <v>4.7218293326649095</v>
      </c>
      <c r="O31" s="173">
        <v>6.15581727</v>
      </c>
      <c r="P31" s="452">
        <v>7.0277144099999997</v>
      </c>
      <c r="Q31" s="174">
        <v>7.2943323800000002</v>
      </c>
      <c r="R31" s="580" t="s">
        <v>159</v>
      </c>
    </row>
    <row r="32" spans="1:27">
      <c r="B32" s="135" t="s">
        <v>164</v>
      </c>
      <c r="C32" s="47" t="s">
        <v>141</v>
      </c>
      <c r="D32" s="43" t="s">
        <v>9</v>
      </c>
      <c r="E32" s="172"/>
      <c r="F32" s="172"/>
      <c r="G32" s="172"/>
      <c r="H32" s="172"/>
      <c r="I32" s="172"/>
      <c r="J32" s="172"/>
      <c r="K32" s="172"/>
      <c r="L32" s="172"/>
      <c r="M32" s="172"/>
      <c r="N32" s="173">
        <v>40.747742729988914</v>
      </c>
      <c r="O32" s="173">
        <v>38.873278749999997</v>
      </c>
      <c r="P32" s="452">
        <v>33.848717139999998</v>
      </c>
      <c r="Q32" s="174">
        <v>29.204812390000001</v>
      </c>
      <c r="R32" s="580" t="s">
        <v>158</v>
      </c>
    </row>
    <row r="33" spans="2:19">
      <c r="B33" s="135" t="s">
        <v>165</v>
      </c>
      <c r="C33" s="47" t="s">
        <v>141</v>
      </c>
      <c r="D33" s="43" t="s">
        <v>9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3">
        <v>97.151197161631103</v>
      </c>
      <c r="O33" s="173">
        <v>89.057952330000006</v>
      </c>
      <c r="P33" s="452">
        <v>101.7255722</v>
      </c>
      <c r="Q33" s="174">
        <v>68.381892350000001</v>
      </c>
      <c r="R33" s="580" t="s">
        <v>156</v>
      </c>
    </row>
    <row r="34" spans="2:19">
      <c r="B34" s="135" t="s">
        <v>81</v>
      </c>
      <c r="C34" s="47" t="s">
        <v>141</v>
      </c>
      <c r="D34" s="43" t="s">
        <v>9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3">
        <v>9.3375681980341163</v>
      </c>
      <c r="O34" s="173">
        <v>9.1808677299999992</v>
      </c>
      <c r="P34" s="452">
        <v>9.4717180800000005</v>
      </c>
      <c r="Q34" s="174">
        <v>10.109702</v>
      </c>
      <c r="R34" s="580" t="s">
        <v>154</v>
      </c>
    </row>
    <row r="35" spans="2:19">
      <c r="B35" s="135" t="s">
        <v>355</v>
      </c>
      <c r="C35" s="47" t="s">
        <v>141</v>
      </c>
      <c r="D35" s="43" t="s">
        <v>9</v>
      </c>
      <c r="E35" s="172"/>
      <c r="F35" s="172"/>
      <c r="G35" s="172"/>
      <c r="H35" s="172"/>
      <c r="I35" s="172"/>
      <c r="J35" s="172"/>
      <c r="K35" s="172"/>
      <c r="L35" s="173">
        <v>2.2111753850000001E-5</v>
      </c>
      <c r="M35" s="173">
        <v>2.3279077830000002E-5</v>
      </c>
      <c r="N35" s="173">
        <v>0</v>
      </c>
      <c r="O35" s="173">
        <v>0</v>
      </c>
      <c r="P35" s="452">
        <v>-0.68740847999999999</v>
      </c>
      <c r="Q35" s="141">
        <v>-0.33650952000000001</v>
      </c>
      <c r="R35" s="581" t="s">
        <v>386</v>
      </c>
    </row>
    <row r="36" spans="2:19">
      <c r="B36" s="135" t="s">
        <v>307</v>
      </c>
      <c r="C36" s="53" t="s">
        <v>289</v>
      </c>
      <c r="D36" s="43" t="s">
        <v>9</v>
      </c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3">
        <v>-3.2737750299999999</v>
      </c>
      <c r="P36" s="452">
        <v>-2.1543340600000001</v>
      </c>
      <c r="Q36" s="141">
        <v>6.0878664899999997</v>
      </c>
      <c r="R36" s="580"/>
    </row>
    <row r="37" spans="2:19">
      <c r="B37" s="135" t="s">
        <v>360</v>
      </c>
      <c r="C37" s="105" t="s">
        <v>123</v>
      </c>
      <c r="D37" s="43" t="s">
        <v>9</v>
      </c>
      <c r="E37" s="172"/>
      <c r="F37" s="172"/>
      <c r="G37" s="179">
        <f>SUM(G21:G35)</f>
        <v>515</v>
      </c>
      <c r="H37" s="179">
        <f t="shared" ref="H37:L37" si="5">SUM(H21:H35)</f>
        <v>543</v>
      </c>
      <c r="I37" s="179">
        <f t="shared" si="5"/>
        <v>564</v>
      </c>
      <c r="J37" s="179">
        <f t="shared" si="5"/>
        <v>565</v>
      </c>
      <c r="K37" s="179">
        <f t="shared" si="5"/>
        <v>580</v>
      </c>
      <c r="L37" s="179">
        <f t="shared" si="5"/>
        <v>613.00002211175388</v>
      </c>
      <c r="M37" s="179">
        <f>SUM(M21:M35)</f>
        <v>634.90002327907791</v>
      </c>
      <c r="N37" s="179">
        <f>SUM(N21:N35)</f>
        <v>614.92884517048219</v>
      </c>
      <c r="O37" s="179">
        <f>SUM(O21:O35)</f>
        <v>623.06213285000013</v>
      </c>
      <c r="P37" s="477">
        <f>SUM(P21:P35)</f>
        <v>631.60611089999986</v>
      </c>
      <c r="Q37" s="143">
        <f>SUM(Q21:Q35)</f>
        <v>643.70012230999998</v>
      </c>
      <c r="R37" s="582"/>
      <c r="S37" s="180"/>
    </row>
    <row r="38" spans="2:19" ht="24" customHeight="1">
      <c r="B38" s="630" t="s">
        <v>54</v>
      </c>
      <c r="C38" s="631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478"/>
      <c r="Q38" s="144"/>
      <c r="R38" s="582"/>
    </row>
    <row r="39" spans="2:19">
      <c r="B39" s="135" t="s">
        <v>55</v>
      </c>
      <c r="C39" s="47" t="s">
        <v>141</v>
      </c>
      <c r="D39" s="43" t="s">
        <v>9</v>
      </c>
      <c r="E39" s="173">
        <v>20</v>
      </c>
      <c r="F39" s="173">
        <v>19.3</v>
      </c>
      <c r="G39" s="173">
        <v>20.209999999999997</v>
      </c>
      <c r="H39" s="173">
        <v>19.850000000000001</v>
      </c>
      <c r="I39" s="173">
        <v>18.2</v>
      </c>
      <c r="J39" s="173">
        <v>21.022705116074</v>
      </c>
      <c r="K39" s="173">
        <v>20.399999999999999</v>
      </c>
      <c r="L39" s="173">
        <v>22.799999999999997</v>
      </c>
      <c r="M39" s="173">
        <v>23.011753849999998</v>
      </c>
      <c r="N39" s="172"/>
      <c r="O39" s="172"/>
      <c r="P39" s="455"/>
      <c r="Q39" s="154"/>
      <c r="R39" s="582"/>
    </row>
    <row r="40" spans="2:19">
      <c r="B40" s="135" t="s">
        <v>117</v>
      </c>
      <c r="C40" s="47" t="s">
        <v>141</v>
      </c>
      <c r="D40" s="43" t="s">
        <v>9</v>
      </c>
      <c r="E40" s="172"/>
      <c r="F40" s="172"/>
      <c r="G40" s="172"/>
      <c r="H40" s="172"/>
      <c r="I40" s="172"/>
      <c r="J40" s="172"/>
      <c r="K40" s="172"/>
      <c r="L40" s="172"/>
      <c r="M40" s="172"/>
      <c r="N40" s="173">
        <v>20.41759806</v>
      </c>
      <c r="O40" s="173">
        <v>20.256283939999999</v>
      </c>
      <c r="P40" s="492">
        <f>24.87184088-P41</f>
        <v>24.018385080000002</v>
      </c>
      <c r="Q40" s="493">
        <f>26.22545525-Q41</f>
        <v>25.116276199999998</v>
      </c>
      <c r="R40" s="580" t="s">
        <v>354</v>
      </c>
    </row>
    <row r="41" spans="2:19">
      <c r="B41" s="135" t="s">
        <v>308</v>
      </c>
      <c r="C41" s="47" t="s">
        <v>141</v>
      </c>
      <c r="D41" s="43" t="s">
        <v>9</v>
      </c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26">
        <v>0.89511574000000005</v>
      </c>
      <c r="P41" s="452">
        <v>0.8534558000000001</v>
      </c>
      <c r="Q41" s="174">
        <v>1.1091790500000001</v>
      </c>
      <c r="R41" s="580" t="s">
        <v>385</v>
      </c>
    </row>
    <row r="42" spans="2:19">
      <c r="B42" s="135" t="s">
        <v>356</v>
      </c>
      <c r="C42" s="47" t="s">
        <v>141</v>
      </c>
      <c r="D42" s="43" t="s">
        <v>9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479">
        <v>1.2064138100000001</v>
      </c>
      <c r="Q42" s="174">
        <v>1.0223435300000001</v>
      </c>
      <c r="R42" s="580" t="s">
        <v>387</v>
      </c>
    </row>
    <row r="43" spans="2:19">
      <c r="B43" s="135" t="s">
        <v>250</v>
      </c>
      <c r="C43" s="53" t="s">
        <v>289</v>
      </c>
      <c r="D43" s="43" t="s">
        <v>9</v>
      </c>
      <c r="E43" s="172"/>
      <c r="F43" s="172"/>
      <c r="G43" s="172"/>
      <c r="H43" s="172"/>
      <c r="I43" s="172"/>
      <c r="J43" s="172"/>
      <c r="K43" s="172"/>
      <c r="L43" s="172"/>
      <c r="M43" s="172"/>
      <c r="N43" s="173">
        <v>4.9060329999999999</v>
      </c>
      <c r="O43" s="126">
        <f>(474786.153589527+2338297.07935+1466301.08704027)*0.000001</f>
        <v>4.2793843199797967</v>
      </c>
      <c r="P43" s="479">
        <f>(1012707.05050093+2296116.5693+998527.980137075)*0.000001</f>
        <v>4.3073515999380048</v>
      </c>
      <c r="Q43" s="174">
        <f>(-1011312.26484685+-2411716.6304+-1525766.2600845)*0.000001</f>
        <v>-4.9487951553313509</v>
      </c>
      <c r="R43" s="580"/>
      <c r="S43" s="145"/>
    </row>
    <row r="44" spans="2:19">
      <c r="B44" s="135" t="s">
        <v>201</v>
      </c>
      <c r="C44" s="53" t="s">
        <v>289</v>
      </c>
      <c r="D44" s="43" t="s">
        <v>9</v>
      </c>
      <c r="E44" s="172"/>
      <c r="F44" s="172"/>
      <c r="G44" s="172"/>
      <c r="H44" s="172"/>
      <c r="I44" s="172"/>
      <c r="J44" s="173">
        <v>6.3</v>
      </c>
      <c r="K44" s="173">
        <v>9</v>
      </c>
      <c r="L44" s="173">
        <v>75.400000000000006</v>
      </c>
      <c r="M44" s="173">
        <v>7.1</v>
      </c>
      <c r="N44" s="172"/>
      <c r="O44" s="172"/>
      <c r="P44" s="455"/>
      <c r="Q44" s="177"/>
      <c r="R44" s="580"/>
    </row>
    <row r="45" spans="2:19">
      <c r="B45" s="135" t="s">
        <v>305</v>
      </c>
      <c r="C45" s="47" t="s">
        <v>141</v>
      </c>
      <c r="D45" s="43" t="s">
        <v>9</v>
      </c>
      <c r="E45" s="172"/>
      <c r="F45" s="172"/>
      <c r="G45" s="172"/>
      <c r="H45" s="172"/>
      <c r="I45" s="172"/>
      <c r="J45" s="172"/>
      <c r="K45" s="172"/>
      <c r="L45" s="172"/>
      <c r="M45" s="172"/>
      <c r="N45" s="173">
        <v>2.56103010216184</v>
      </c>
      <c r="O45" s="173">
        <v>5.8768565500000003</v>
      </c>
      <c r="P45" s="452">
        <v>18.55559088</v>
      </c>
      <c r="Q45" s="174">
        <v>18.417795390000002</v>
      </c>
      <c r="R45" s="580" t="s">
        <v>152</v>
      </c>
    </row>
    <row r="46" spans="2:19">
      <c r="B46" s="135" t="s">
        <v>442</v>
      </c>
      <c r="C46" s="47" t="s">
        <v>141</v>
      </c>
      <c r="D46" s="43" t="s">
        <v>9</v>
      </c>
      <c r="E46" s="172"/>
      <c r="F46" s="172"/>
      <c r="G46" s="172"/>
      <c r="H46" s="172"/>
      <c r="I46" s="172"/>
      <c r="J46" s="172"/>
      <c r="K46" s="172"/>
      <c r="L46" s="172"/>
      <c r="M46" s="172"/>
      <c r="N46" s="173">
        <v>3.6112160000000002</v>
      </c>
      <c r="O46" s="173">
        <f>3.5947935</f>
        <v>3.5947935000000002</v>
      </c>
      <c r="P46" s="452">
        <v>4.3395427300000007</v>
      </c>
      <c r="Q46" s="174">
        <v>5.3235920800000001</v>
      </c>
      <c r="R46" s="580" t="s">
        <v>352</v>
      </c>
    </row>
    <row r="47" spans="2:19">
      <c r="B47" s="135" t="s">
        <v>441</v>
      </c>
      <c r="C47" s="47" t="s">
        <v>141</v>
      </c>
      <c r="D47" s="43" t="s">
        <v>9</v>
      </c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452">
        <v>4.1837350600000001</v>
      </c>
      <c r="Q47" s="174">
        <v>5.2447125000000003</v>
      </c>
      <c r="R47" s="580"/>
    </row>
    <row r="48" spans="2:19">
      <c r="B48" s="135" t="s">
        <v>196</v>
      </c>
      <c r="C48" s="47" t="s">
        <v>141</v>
      </c>
      <c r="D48" s="43" t="s">
        <v>9</v>
      </c>
      <c r="E48" s="172"/>
      <c r="F48" s="172"/>
      <c r="G48" s="172"/>
      <c r="H48" s="172"/>
      <c r="I48" s="172"/>
      <c r="J48" s="172"/>
      <c r="K48" s="172"/>
      <c r="L48" s="172"/>
      <c r="M48" s="172"/>
      <c r="N48" s="173">
        <v>1.9214495500000008</v>
      </c>
      <c r="O48" s="173">
        <v>2.5101114199999999</v>
      </c>
      <c r="P48" s="452">
        <v>3.1809021899999999</v>
      </c>
      <c r="Q48" s="174">
        <v>2.3408675400000001</v>
      </c>
      <c r="R48" s="580"/>
    </row>
    <row r="49" spans="2:30">
      <c r="B49" s="135" t="s">
        <v>312</v>
      </c>
      <c r="C49" s="47" t="s">
        <v>141</v>
      </c>
      <c r="D49" s="43" t="s">
        <v>9</v>
      </c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3">
        <f>669290.54535/1000000</f>
        <v>0.66929054534999999</v>
      </c>
      <c r="P49" s="452">
        <v>0.32686356999999999</v>
      </c>
      <c r="Q49" s="174">
        <v>0.37934094000000002</v>
      </c>
      <c r="R49" s="583" t="s">
        <v>483</v>
      </c>
    </row>
    <row r="50" spans="2:30">
      <c r="B50" s="135" t="s">
        <v>443</v>
      </c>
      <c r="C50" s="47" t="s">
        <v>141</v>
      </c>
      <c r="D50" s="43" t="s">
        <v>9</v>
      </c>
      <c r="E50" s="172"/>
      <c r="F50" s="172"/>
      <c r="G50" s="173">
        <v>0</v>
      </c>
      <c r="H50" s="173">
        <v>0.18</v>
      </c>
      <c r="I50" s="173">
        <v>0.52</v>
      </c>
      <c r="J50" s="173">
        <v>0.81</v>
      </c>
      <c r="K50" s="173">
        <v>1.2</v>
      </c>
      <c r="L50" s="173">
        <v>2.6</v>
      </c>
      <c r="M50" s="173">
        <v>2</v>
      </c>
      <c r="N50" s="173">
        <v>2.3461109508039999</v>
      </c>
      <c r="O50" s="173">
        <v>2.970496969</v>
      </c>
      <c r="P50" s="452">
        <v>2.83303087</v>
      </c>
      <c r="Q50" s="174">
        <v>2.8007852</v>
      </c>
      <c r="R50" s="584" t="s">
        <v>353</v>
      </c>
    </row>
    <row r="51" spans="2:30">
      <c r="B51" s="135" t="s">
        <v>444</v>
      </c>
      <c r="C51" s="47" t="s">
        <v>141</v>
      </c>
      <c r="D51" s="43" t="s">
        <v>9</v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452">
        <v>2.7129967700000002</v>
      </c>
      <c r="Q51" s="174">
        <v>2.64768304</v>
      </c>
      <c r="R51" s="584"/>
    </row>
    <row r="52" spans="2:30">
      <c r="B52" s="135" t="s">
        <v>197</v>
      </c>
      <c r="C52" s="47" t="s">
        <v>123</v>
      </c>
      <c r="D52" s="43" t="s">
        <v>9</v>
      </c>
      <c r="E52" s="172"/>
      <c r="F52" s="172"/>
      <c r="G52" s="173">
        <v>4.2</v>
      </c>
      <c r="H52" s="173">
        <v>7.6</v>
      </c>
      <c r="I52" s="173">
        <v>8.6</v>
      </c>
      <c r="J52" s="173">
        <v>9</v>
      </c>
      <c r="K52" s="173">
        <v>9.8000000000000007</v>
      </c>
      <c r="L52" s="173">
        <v>11.4</v>
      </c>
      <c r="M52" s="173">
        <v>10.9</v>
      </c>
      <c r="N52" s="179">
        <f>N46+N48+N50+N29</f>
        <v>7.8787765008040012</v>
      </c>
      <c r="O52" s="179">
        <f>O46+O48+O50+O29+O49</f>
        <v>9.7446924343500001</v>
      </c>
      <c r="P52" s="477">
        <f>P46+P48+P50+P29+P49</f>
        <v>10.680339360000001</v>
      </c>
      <c r="Q52" s="143">
        <f>Q46+Q48+Q50+Q29+Q49</f>
        <v>10.844585760000001</v>
      </c>
      <c r="R52" s="585"/>
    </row>
    <row r="53" spans="2:30">
      <c r="B53" s="135" t="s">
        <v>471</v>
      </c>
      <c r="C53" s="47" t="s">
        <v>141</v>
      </c>
      <c r="D53" s="43" t="s">
        <v>9</v>
      </c>
      <c r="E53" s="172"/>
      <c r="F53" s="172"/>
      <c r="G53" s="172"/>
      <c r="H53" s="172"/>
      <c r="I53" s="172"/>
      <c r="J53" s="172"/>
      <c r="K53" s="172"/>
      <c r="L53" s="172"/>
      <c r="M53" s="172"/>
      <c r="N53" s="173">
        <v>2</v>
      </c>
      <c r="O53" s="173">
        <v>2.1869814122368414</v>
      </c>
      <c r="P53" s="492">
        <v>1.9737042746052609</v>
      </c>
      <c r="Q53" s="174">
        <v>2.2747003023684211</v>
      </c>
      <c r="R53" s="585"/>
    </row>
    <row r="54" spans="2:30">
      <c r="B54" s="135" t="s">
        <v>472</v>
      </c>
      <c r="C54" s="47" t="s">
        <v>141</v>
      </c>
      <c r="D54" s="43" t="s">
        <v>9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3">
        <v>2.7</v>
      </c>
      <c r="O54" s="173">
        <v>2.3639574415199847</v>
      </c>
      <c r="P54" s="492">
        <v>1.92841050039032</v>
      </c>
      <c r="Q54" s="174">
        <v>2.3141843380719398</v>
      </c>
      <c r="R54" s="585"/>
    </row>
    <row r="55" spans="2:30">
      <c r="B55" s="135" t="s">
        <v>473</v>
      </c>
      <c r="C55" s="47" t="s">
        <v>141</v>
      </c>
      <c r="D55" s="43" t="s">
        <v>9</v>
      </c>
      <c r="E55" s="172"/>
      <c r="F55" s="172"/>
      <c r="G55" s="172"/>
      <c r="H55" s="172"/>
      <c r="I55" s="172"/>
      <c r="J55" s="172"/>
      <c r="K55" s="172"/>
      <c r="L55" s="172"/>
      <c r="M55" s="172"/>
      <c r="N55" s="173">
        <v>0.4</v>
      </c>
      <c r="O55" s="173">
        <v>0.71226617000000003</v>
      </c>
      <c r="P55" s="492">
        <v>0.57620237065000102</v>
      </c>
      <c r="Q55" s="174">
        <v>0.58500540035000037</v>
      </c>
      <c r="R55" s="585"/>
    </row>
    <row r="56" spans="2:30">
      <c r="B56" s="135" t="s">
        <v>474</v>
      </c>
      <c r="C56" s="47" t="s">
        <v>141</v>
      </c>
      <c r="D56" s="43" t="s">
        <v>9</v>
      </c>
      <c r="E56" s="172"/>
      <c r="F56" s="172"/>
      <c r="G56" s="172"/>
      <c r="H56" s="172"/>
      <c r="I56" s="172"/>
      <c r="J56" s="172"/>
      <c r="K56" s="172"/>
      <c r="L56" s="172"/>
      <c r="M56" s="172"/>
      <c r="N56" s="173">
        <v>0.4</v>
      </c>
      <c r="O56" s="173">
        <v>0.5235180864006368</v>
      </c>
      <c r="P56" s="492">
        <v>0.42578393323686703</v>
      </c>
      <c r="Q56" s="174">
        <v>0.54713143060036895</v>
      </c>
      <c r="R56" s="585"/>
    </row>
    <row r="57" spans="2:30">
      <c r="B57" s="135" t="s">
        <v>316</v>
      </c>
      <c r="C57" s="47" t="s">
        <v>141</v>
      </c>
      <c r="D57" s="43" t="s">
        <v>9</v>
      </c>
      <c r="E57" s="172"/>
      <c r="F57" s="172"/>
      <c r="G57" s="172"/>
      <c r="H57" s="172"/>
      <c r="I57" s="172"/>
      <c r="J57" s="172"/>
      <c r="K57" s="172"/>
      <c r="L57" s="172"/>
      <c r="M57" s="172"/>
      <c r="N57" s="173">
        <v>-2.0458750000000001E-2</v>
      </c>
      <c r="O57" s="173">
        <v>2.2930240000000001E-2</v>
      </c>
      <c r="P57" s="492">
        <v>0</v>
      </c>
      <c r="Q57" s="174">
        <v>0</v>
      </c>
      <c r="R57" s="586"/>
    </row>
    <row r="58" spans="2:30">
      <c r="B58" s="135" t="s">
        <v>359</v>
      </c>
      <c r="C58" s="53" t="s">
        <v>289</v>
      </c>
      <c r="D58" s="43" t="s">
        <v>9</v>
      </c>
      <c r="E58" s="172"/>
      <c r="F58" s="172"/>
      <c r="G58" s="173">
        <v>0</v>
      </c>
      <c r="H58" s="173">
        <v>0</v>
      </c>
      <c r="I58" s="173">
        <v>0</v>
      </c>
      <c r="J58" s="173">
        <v>0</v>
      </c>
      <c r="K58" s="173">
        <v>0</v>
      </c>
      <c r="L58" s="173">
        <v>0</v>
      </c>
      <c r="M58" s="173">
        <v>0</v>
      </c>
      <c r="N58" s="173">
        <v>1.085075</v>
      </c>
      <c r="O58" s="173">
        <v>1.4047776845</v>
      </c>
      <c r="P58" s="492">
        <v>3.3460845574999998</v>
      </c>
      <c r="Q58" s="174">
        <v>5.6428545850000003</v>
      </c>
      <c r="R58" s="586"/>
      <c r="S58" s="145"/>
    </row>
    <row r="59" spans="2:30" ht="15.5">
      <c r="B59" s="135" t="s">
        <v>202</v>
      </c>
      <c r="C59" s="53" t="s">
        <v>289</v>
      </c>
      <c r="D59" s="43" t="s">
        <v>9</v>
      </c>
      <c r="E59" s="173">
        <f>29-(E50+E39+E61+E60+E44)</f>
        <v>2.4058965800000003</v>
      </c>
      <c r="F59" s="173">
        <f>37.4-(F50+F39+F61+F60+F44)</f>
        <v>9.9505161499999986</v>
      </c>
      <c r="G59" s="173">
        <f>41.11-(G50+G39+G61+G60+G44)</f>
        <v>5.3303918077000034</v>
      </c>
      <c r="H59" s="173">
        <f>57.42-(H50+H39+H61+H60+H44)</f>
        <v>3.6882686255619959</v>
      </c>
      <c r="I59" s="173">
        <f>50.56-(I50+I39+I61+I60+I44)</f>
        <v>6.0414408879710066</v>
      </c>
      <c r="J59" s="173">
        <f>48.72-(J50+J39+J61+J60+J44)</f>
        <v>1.0566276522880003</v>
      </c>
      <c r="K59" s="173">
        <f>54.54-(K50+K39+K61+K60+K44)</f>
        <v>8.4803317945910024</v>
      </c>
      <c r="L59" s="173">
        <f>125.27-(L50+L39+L61+L60+L44)</f>
        <v>9.1657968105369889</v>
      </c>
      <c r="M59" s="173">
        <f>58.61-(M50+M39+M61+M60+M44)</f>
        <v>15.458932629256019</v>
      </c>
      <c r="N59" s="173">
        <f>51.9-(N45+N40+N61+N60+N46+N48+N50+N58+N43)</f>
        <v>4.1301950772444798</v>
      </c>
      <c r="O59" s="172"/>
      <c r="P59" s="455"/>
      <c r="Q59" s="177"/>
      <c r="R59" s="587"/>
    </row>
    <row r="60" spans="2:30">
      <c r="B60" s="135" t="s">
        <v>56</v>
      </c>
      <c r="C60" s="53" t="s">
        <v>289</v>
      </c>
      <c r="D60" s="43" t="s">
        <v>9</v>
      </c>
      <c r="E60" s="173">
        <v>4.3037744199999999</v>
      </c>
      <c r="F60" s="173">
        <v>5.7240936900000001</v>
      </c>
      <c r="G60" s="173">
        <v>13.003102135499999</v>
      </c>
      <c r="H60" s="173">
        <v>13.50072642394</v>
      </c>
      <c r="I60" s="173">
        <v>11.519861418765</v>
      </c>
      <c r="J60" s="173">
        <v>11.530667231638002</v>
      </c>
      <c r="K60" s="173">
        <v>11.059549311953001</v>
      </c>
      <c r="L60" s="173">
        <v>8.3420904670600002</v>
      </c>
      <c r="M60" s="173">
        <v>5.4884284503583096</v>
      </c>
      <c r="N60" s="173">
        <v>6.9824014054071197</v>
      </c>
      <c r="O60" s="173">
        <v>10.842030932887001</v>
      </c>
      <c r="P60" s="492">
        <v>9.9451224927771893</v>
      </c>
      <c r="Q60" s="174">
        <v>10.483075620863801</v>
      </c>
      <c r="R60" s="588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2:30">
      <c r="B61" s="135" t="s">
        <v>200</v>
      </c>
      <c r="C61" s="53" t="s">
        <v>289</v>
      </c>
      <c r="D61" s="43" t="s">
        <v>9</v>
      </c>
      <c r="E61" s="173">
        <v>2.2903289999999998</v>
      </c>
      <c r="F61" s="173">
        <v>2.4253901600000001</v>
      </c>
      <c r="G61" s="181">
        <v>2.5665060567999998</v>
      </c>
      <c r="H61" s="181">
        <v>20.201004950498</v>
      </c>
      <c r="I61" s="182">
        <v>14.278697693263998</v>
      </c>
      <c r="J61" s="182">
        <v>8</v>
      </c>
      <c r="K61" s="182">
        <v>4.4001188934559998</v>
      </c>
      <c r="L61" s="181">
        <v>6.9621127224029999</v>
      </c>
      <c r="M61" s="181">
        <v>5.5508850703856707</v>
      </c>
      <c r="N61" s="181">
        <v>3.93889085438256</v>
      </c>
      <c r="O61" s="172"/>
      <c r="P61" s="455"/>
      <c r="Q61" s="177"/>
      <c r="R61" s="586"/>
    </row>
    <row r="62" spans="2:30" ht="17.5">
      <c r="B62" s="146" t="s">
        <v>252</v>
      </c>
      <c r="C62" s="53" t="s">
        <v>289</v>
      </c>
      <c r="D62" s="43" t="s">
        <v>9</v>
      </c>
      <c r="E62" s="172"/>
      <c r="F62" s="172"/>
      <c r="G62" s="181">
        <v>1.3</v>
      </c>
      <c r="H62" s="181">
        <v>1.5</v>
      </c>
      <c r="I62" s="173">
        <v>1.3</v>
      </c>
      <c r="J62" s="173">
        <v>1.1417710406570001</v>
      </c>
      <c r="K62" s="173">
        <v>1</v>
      </c>
      <c r="L62" s="173">
        <v>1.2</v>
      </c>
      <c r="M62" s="173">
        <v>1</v>
      </c>
      <c r="N62" s="173">
        <v>3.0485534667229701</v>
      </c>
      <c r="O62" s="172"/>
      <c r="P62" s="455"/>
      <c r="Q62" s="177"/>
      <c r="R62" s="586"/>
    </row>
    <row r="63" spans="2:30" ht="17.5">
      <c r="B63" s="146" t="s">
        <v>309</v>
      </c>
      <c r="C63" s="53" t="s">
        <v>289</v>
      </c>
      <c r="D63" s="43" t="s">
        <v>9</v>
      </c>
      <c r="E63" s="172"/>
      <c r="F63" s="172"/>
      <c r="G63" s="172"/>
      <c r="H63" s="172"/>
      <c r="I63" s="172"/>
      <c r="J63" s="172"/>
      <c r="K63" s="172"/>
      <c r="L63" s="172"/>
      <c r="M63" s="173">
        <v>5.5508850703856671</v>
      </c>
      <c r="N63" s="173">
        <v>3.9388908543825636</v>
      </c>
      <c r="O63" s="173">
        <v>6.9591763335712002</v>
      </c>
      <c r="P63" s="492">
        <v>4.4026040274617397</v>
      </c>
      <c r="Q63" s="174">
        <v>5.2950559186585302</v>
      </c>
      <c r="R63" s="586"/>
    </row>
    <row r="64" spans="2:30" ht="17.5">
      <c r="B64" s="146" t="s">
        <v>310</v>
      </c>
      <c r="C64" s="53" t="s">
        <v>289</v>
      </c>
      <c r="D64" s="43" t="s">
        <v>9</v>
      </c>
      <c r="E64" s="172"/>
      <c r="F64" s="172"/>
      <c r="G64" s="172"/>
      <c r="H64" s="172"/>
      <c r="I64" s="172"/>
      <c r="J64" s="172"/>
      <c r="K64" s="172"/>
      <c r="L64" s="172"/>
      <c r="M64" s="172"/>
      <c r="N64" s="173">
        <v>0.993382972491762</v>
      </c>
      <c r="O64" s="173">
        <v>2.9079087857264301</v>
      </c>
      <c r="P64" s="492">
        <v>2.53134344334241</v>
      </c>
      <c r="Q64" s="174">
        <v>2.8200315200000001</v>
      </c>
      <c r="R64" s="586"/>
    </row>
    <row r="65" spans="2:19" ht="17.5">
      <c r="B65" s="146" t="s">
        <v>311</v>
      </c>
      <c r="C65" s="53" t="s">
        <v>289</v>
      </c>
      <c r="D65" s="43" t="s">
        <v>9</v>
      </c>
      <c r="E65" s="172"/>
      <c r="F65" s="172"/>
      <c r="G65" s="172"/>
      <c r="H65" s="172"/>
      <c r="I65" s="172"/>
      <c r="J65" s="172"/>
      <c r="K65" s="172"/>
      <c r="L65" s="172"/>
      <c r="M65" s="173">
        <v>1.7124017980070001</v>
      </c>
      <c r="N65" s="173">
        <v>3.0485534667229701</v>
      </c>
      <c r="O65" s="173">
        <v>6.2644148944738998</v>
      </c>
      <c r="P65" s="492">
        <v>3.1178514656865399</v>
      </c>
      <c r="Q65" s="174">
        <v>3.8030291704496002</v>
      </c>
      <c r="R65" s="586"/>
    </row>
    <row r="66" spans="2:19">
      <c r="B66" s="135" t="s">
        <v>251</v>
      </c>
      <c r="C66" s="53" t="s">
        <v>289</v>
      </c>
      <c r="D66" s="43" t="s">
        <v>9</v>
      </c>
      <c r="E66" s="173">
        <v>26.6</v>
      </c>
      <c r="F66" s="173">
        <v>25.35</v>
      </c>
      <c r="G66" s="181">
        <v>27.84</v>
      </c>
      <c r="H66" s="181">
        <v>28.2</v>
      </c>
      <c r="I66" s="173">
        <v>26.2</v>
      </c>
      <c r="J66" s="173">
        <v>25</v>
      </c>
      <c r="K66" s="173">
        <v>26.1</v>
      </c>
      <c r="L66" s="173">
        <v>32.1</v>
      </c>
      <c r="M66" s="173">
        <v>25.3</v>
      </c>
      <c r="N66" s="172"/>
      <c r="O66" s="172"/>
      <c r="P66" s="455"/>
      <c r="Q66" s="177"/>
      <c r="R66" s="586"/>
    </row>
    <row r="67" spans="2:19">
      <c r="B67" s="135" t="s">
        <v>198</v>
      </c>
      <c r="C67" s="53" t="s">
        <v>289</v>
      </c>
      <c r="D67" s="43" t="s">
        <v>9</v>
      </c>
      <c r="E67" s="172"/>
      <c r="F67" s="172"/>
      <c r="G67" s="172"/>
      <c r="H67" s="172"/>
      <c r="I67" s="172"/>
      <c r="J67" s="172"/>
      <c r="K67" s="172"/>
      <c r="L67" s="172"/>
      <c r="M67" s="172"/>
      <c r="N67" s="173">
        <v>8.2664938443214453</v>
      </c>
      <c r="O67" s="173">
        <v>9.4746526568513172</v>
      </c>
      <c r="P67" s="452">
        <v>9.62714985658606</v>
      </c>
      <c r="Q67" s="174">
        <v>11.4455894357791</v>
      </c>
      <c r="R67" s="588"/>
    </row>
    <row r="68" spans="2:19" ht="15" thickBot="1">
      <c r="B68" s="137" t="s">
        <v>199</v>
      </c>
      <c r="C68" s="76" t="s">
        <v>289</v>
      </c>
      <c r="D68" s="77" t="s">
        <v>9</v>
      </c>
      <c r="E68" s="185"/>
      <c r="F68" s="185"/>
      <c r="G68" s="185"/>
      <c r="H68" s="185"/>
      <c r="I68" s="185"/>
      <c r="J68" s="185"/>
      <c r="K68" s="185"/>
      <c r="L68" s="185"/>
      <c r="M68" s="185"/>
      <c r="N68" s="186">
        <v>20.6350875558709</v>
      </c>
      <c r="O68" s="186">
        <v>19.403983371958741</v>
      </c>
      <c r="P68" s="508">
        <v>18.985671877152999</v>
      </c>
      <c r="Q68" s="509">
        <v>21.865230690186099</v>
      </c>
      <c r="R68" s="184"/>
    </row>
    <row r="70" spans="2:19" ht="15" thickBot="1"/>
    <row r="71" spans="2:19" ht="18">
      <c r="B71" s="131" t="s">
        <v>7</v>
      </c>
      <c r="C71" s="139"/>
      <c r="D71" s="39" t="s">
        <v>0</v>
      </c>
      <c r="E71" s="164">
        <v>2009</v>
      </c>
      <c r="F71" s="164">
        <v>2010</v>
      </c>
      <c r="G71" s="164">
        <v>2011</v>
      </c>
      <c r="H71" s="164">
        <v>2012</v>
      </c>
      <c r="I71" s="164">
        <v>2013</v>
      </c>
      <c r="J71" s="164">
        <v>2014</v>
      </c>
      <c r="K71" s="164">
        <v>2015</v>
      </c>
      <c r="L71" s="164">
        <v>2016</v>
      </c>
      <c r="M71" s="164">
        <v>2017</v>
      </c>
      <c r="N71" s="164">
        <v>2018</v>
      </c>
      <c r="O71" s="164">
        <v>2019</v>
      </c>
      <c r="P71" s="421">
        <v>2020</v>
      </c>
      <c r="Q71" s="132">
        <v>2021</v>
      </c>
      <c r="R71" s="187"/>
    </row>
    <row r="72" spans="2:19">
      <c r="B72" s="133" t="s">
        <v>6</v>
      </c>
      <c r="C72" s="148"/>
      <c r="D72" s="43"/>
      <c r="E72" s="165">
        <v>2009</v>
      </c>
      <c r="F72" s="165">
        <v>2010</v>
      </c>
      <c r="G72" s="165">
        <v>2011</v>
      </c>
      <c r="H72" s="165">
        <v>2012</v>
      </c>
      <c r="I72" s="165">
        <v>2013</v>
      </c>
      <c r="J72" s="165">
        <v>2014</v>
      </c>
      <c r="K72" s="165">
        <v>2015</v>
      </c>
      <c r="L72" s="165">
        <v>2016</v>
      </c>
      <c r="M72" s="165">
        <v>2017</v>
      </c>
      <c r="N72" s="165">
        <v>2018</v>
      </c>
      <c r="O72" s="165">
        <v>2019</v>
      </c>
      <c r="P72" s="422">
        <v>2020</v>
      </c>
      <c r="Q72" s="134">
        <v>2021</v>
      </c>
      <c r="R72" s="187"/>
    </row>
    <row r="73" spans="2:19">
      <c r="B73" s="624" t="s">
        <v>281</v>
      </c>
      <c r="C73" s="637"/>
      <c r="D73" s="637"/>
      <c r="E73" s="637"/>
      <c r="F73" s="637"/>
      <c r="G73" s="637"/>
      <c r="H73" s="637"/>
      <c r="I73" s="637"/>
      <c r="J73" s="637"/>
      <c r="K73" s="637"/>
      <c r="L73" s="637"/>
      <c r="M73" s="637"/>
      <c r="N73" s="637"/>
      <c r="O73" s="637"/>
      <c r="P73" s="625"/>
      <c r="Q73" s="638"/>
      <c r="R73" s="187"/>
    </row>
    <row r="74" spans="2:19">
      <c r="B74" s="135" t="s">
        <v>282</v>
      </c>
      <c r="C74" s="105" t="s">
        <v>123</v>
      </c>
      <c r="D74" s="43" t="s">
        <v>3</v>
      </c>
      <c r="E74" s="172"/>
      <c r="F74" s="172"/>
      <c r="G74" s="188">
        <f>G110*1000000/'Collecte et tri'!G10</f>
        <v>8.7265345970091843</v>
      </c>
      <c r="H74" s="188">
        <f>H110*1000000/'Collecte et tri'!H10</f>
        <v>9.4532022447344399</v>
      </c>
      <c r="I74" s="188">
        <f>I110*1000000/'Collecte et tri'!I10</f>
        <v>9.4134092020109268</v>
      </c>
      <c r="J74" s="188">
        <f>J110*1000000/'Collecte et tri'!J10</f>
        <v>9.2832869941303695</v>
      </c>
      <c r="K74" s="188">
        <f>K110*1000000/'Collecte et tri'!K10</f>
        <v>9.65400061785604</v>
      </c>
      <c r="L74" s="188">
        <f>L110*1000000/'Collecte et tri'!L10</f>
        <v>10.07532475023169</v>
      </c>
      <c r="M74" s="188">
        <f>M110*1000000/'Collecte et tri'!M10</f>
        <v>10.527002383333263</v>
      </c>
      <c r="N74" s="188">
        <f>N125*1000000/'Collecte et tri'!N10</f>
        <v>9.9651926102982351</v>
      </c>
      <c r="O74" s="189">
        <f>O125*1000000/'Collecte et tri'!O10</f>
        <v>10.436134851356377</v>
      </c>
      <c r="P74" s="428">
        <f>P125*1000000/'Collecte et tri'!P10</f>
        <v>10.154749197138393</v>
      </c>
      <c r="Q74" s="190">
        <f>Q125*1000000/'Collecte et tri'!Q10</f>
        <v>10.772554860427386</v>
      </c>
      <c r="R74" s="187"/>
    </row>
    <row r="75" spans="2:19">
      <c r="B75" s="135" t="s">
        <v>283</v>
      </c>
      <c r="C75" s="105" t="s">
        <v>123</v>
      </c>
      <c r="D75" s="43" t="s">
        <v>3</v>
      </c>
      <c r="E75" s="172"/>
      <c r="F75" s="172"/>
      <c r="G75" s="188">
        <f>G37*1000000/'Collecte et tri'!G10</f>
        <v>8.1268812250628031</v>
      </c>
      <c r="H75" s="188">
        <f>H37*1000000/'Collecte et tri'!H10</f>
        <v>8.5409131761910171</v>
      </c>
      <c r="I75" s="188">
        <f>I37*1000000/'Collecte et tri'!I10</f>
        <v>8.7178370934879528</v>
      </c>
      <c r="J75" s="188">
        <f>J37*1000000/'Collecte et tri'!J10</f>
        <v>8.7272165585418602</v>
      </c>
      <c r="K75" s="188">
        <f>K37*1000000/'Collecte et tri'!K10</f>
        <v>8.9589125733704051</v>
      </c>
      <c r="L75" s="188">
        <f>L37*1000000/'Collecte et tri'!L10</f>
        <v>9.4686441475402194</v>
      </c>
      <c r="M75" s="188">
        <f>M37*1000000/'Collecte et tri'!M10</f>
        <v>9.7978398654178687</v>
      </c>
      <c r="N75" s="188">
        <f>N37*1000000/'Collecte et tri'!N10</f>
        <v>9.2999579740031137</v>
      </c>
      <c r="O75" s="189">
        <f>O37*1000000/'Collecte et tri'!O10</f>
        <v>9.3713876335498281</v>
      </c>
      <c r="P75" s="428">
        <f>P37*1000000/'Collecte et tri'!P10</f>
        <v>9.4754175586789842</v>
      </c>
      <c r="Q75" s="190">
        <f>Q37*1000000/'Collecte et tri'!Q10</f>
        <v>9.6333842106722685</v>
      </c>
      <c r="R75" s="187"/>
    </row>
    <row r="76" spans="2:19" ht="15" thickBot="1">
      <c r="B76" s="137" t="s">
        <v>284</v>
      </c>
      <c r="C76" s="62" t="s">
        <v>123</v>
      </c>
      <c r="D76" s="77" t="s">
        <v>3</v>
      </c>
      <c r="E76" s="185"/>
      <c r="F76" s="185"/>
      <c r="G76" s="191">
        <f>SUM(G21:G22)*1000000/'Collecte et tri'!G10</f>
        <v>5.9807533675704896</v>
      </c>
      <c r="H76" s="191">
        <f>SUM(H21:H22)*1000000/'Collecte et tri'!H10</f>
        <v>6.8107097703328003</v>
      </c>
      <c r="I76" s="191">
        <f>SUM(I21:I22)*1000000/'Collecte et tri'!I10</f>
        <v>7.1721212967702304</v>
      </c>
      <c r="J76" s="191">
        <f>SUM(J21:J22)*1000000/'Collecte et tri'!J10</f>
        <v>7.0698177324683362</v>
      </c>
      <c r="K76" s="191">
        <f>SUM(K21:K22)*1000000/'Collecte et tri'!K10</f>
        <v>7.2289156626506035</v>
      </c>
      <c r="L76" s="191">
        <f>SUM(L21:L22)*1000000/'Collecte et tri'!L10</f>
        <v>7.7077540932962618</v>
      </c>
      <c r="M76" s="191">
        <f>SUM(M21:M22)*1000000/'Collecte et tri'!M10</f>
        <v>8.0354938271604954</v>
      </c>
      <c r="N76" s="191">
        <f>SUM(N21:N22)*1000000/'Collecte et tri'!N10</f>
        <v>6.5681944951362867</v>
      </c>
      <c r="O76" s="191">
        <f>SUM(O21:O22)*1000000/'Collecte et tri'!O10</f>
        <v>6.7815409732688048</v>
      </c>
      <c r="P76" s="429">
        <f>SUM(P21:P22)*1000000/'Collecte et tri'!P10</f>
        <v>6.7798184099401029</v>
      </c>
      <c r="Q76" s="147">
        <f>SUM(Q21:Q22)*1000000/'Collecte et tri'!Q10</f>
        <v>7.4772976675795846</v>
      </c>
      <c r="R76" s="184"/>
      <c r="S76" s="184"/>
    </row>
    <row r="77" spans="2:19">
      <c r="R77" s="187"/>
    </row>
    <row r="78" spans="2:19" ht="15" thickBot="1">
      <c r="R78" s="187"/>
    </row>
    <row r="79" spans="2:19" ht="18">
      <c r="B79" s="131" t="s">
        <v>7</v>
      </c>
      <c r="C79" s="139"/>
      <c r="D79" s="39" t="s">
        <v>0</v>
      </c>
      <c r="E79" s="164">
        <v>2009</v>
      </c>
      <c r="F79" s="164">
        <v>2010</v>
      </c>
      <c r="G79" s="164">
        <v>2011</v>
      </c>
      <c r="H79" s="164">
        <v>2012</v>
      </c>
      <c r="I79" s="164">
        <v>2013</v>
      </c>
      <c r="J79" s="164">
        <v>2014</v>
      </c>
      <c r="K79" s="164">
        <v>2015</v>
      </c>
      <c r="L79" s="164">
        <v>2016</v>
      </c>
      <c r="M79" s="164">
        <v>2017</v>
      </c>
      <c r="N79" s="164">
        <v>2018</v>
      </c>
      <c r="O79" s="164">
        <v>2019</v>
      </c>
      <c r="P79" s="164">
        <v>2020</v>
      </c>
      <c r="Q79" s="132">
        <v>2021</v>
      </c>
      <c r="R79" s="184"/>
    </row>
    <row r="80" spans="2:19" ht="20.149999999999999" customHeight="1">
      <c r="B80" s="133" t="s">
        <v>6</v>
      </c>
      <c r="C80" s="148"/>
      <c r="D80" s="43"/>
      <c r="E80" s="165">
        <v>2009</v>
      </c>
      <c r="F80" s="165">
        <v>2010</v>
      </c>
      <c r="G80" s="165">
        <v>2011</v>
      </c>
      <c r="H80" s="165">
        <v>2012</v>
      </c>
      <c r="I80" s="165">
        <v>2013</v>
      </c>
      <c r="J80" s="165">
        <v>2014</v>
      </c>
      <c r="K80" s="165">
        <v>2015</v>
      </c>
      <c r="L80" s="165">
        <v>2016</v>
      </c>
      <c r="M80" s="165">
        <v>2017</v>
      </c>
      <c r="N80" s="165">
        <v>2018</v>
      </c>
      <c r="O80" s="165">
        <v>2019</v>
      </c>
      <c r="P80" s="165">
        <v>2020</v>
      </c>
      <c r="Q80" s="134">
        <v>2021</v>
      </c>
      <c r="R80" s="167"/>
    </row>
    <row r="81" spans="2:18" ht="26.15" customHeight="1">
      <c r="B81" s="624" t="s">
        <v>126</v>
      </c>
      <c r="C81" s="625"/>
      <c r="D81" s="625"/>
      <c r="E81" s="625"/>
      <c r="F81" s="625"/>
      <c r="G81" s="625"/>
      <c r="H81" s="625"/>
      <c r="I81" s="625"/>
      <c r="J81" s="625"/>
      <c r="K81" s="625"/>
      <c r="L81" s="625"/>
      <c r="M81" s="625"/>
      <c r="N81" s="625"/>
      <c r="O81" s="625"/>
      <c r="P81" s="625"/>
      <c r="Q81" s="626"/>
      <c r="R81" s="167"/>
    </row>
    <row r="82" spans="2:18">
      <c r="B82" s="135" t="s">
        <v>134</v>
      </c>
      <c r="C82" s="53" t="s">
        <v>289</v>
      </c>
      <c r="D82" s="43" t="s">
        <v>3</v>
      </c>
      <c r="E82" s="172"/>
      <c r="F82" s="172"/>
      <c r="G82" s="192">
        <v>2.7999999999999997E-2</v>
      </c>
      <c r="H82" s="192">
        <v>7.0667414045172804E-3</v>
      </c>
      <c r="I82" s="192">
        <v>4.6253469010175763E-3</v>
      </c>
      <c r="J82" s="192">
        <v>0.01</v>
      </c>
      <c r="K82" s="192">
        <v>8.4775229486857388E-3</v>
      </c>
      <c r="L82" s="192">
        <v>2.3479385308589284E-3</v>
      </c>
      <c r="M82" s="192">
        <v>4.0000000000000001E-3</v>
      </c>
      <c r="N82" s="192">
        <v>5.2586547981322007E-3</v>
      </c>
      <c r="O82" s="192">
        <v>4.2857142857142859E-3</v>
      </c>
      <c r="P82" s="513">
        <v>4.3604651162790697E-3</v>
      </c>
      <c r="Q82" s="511">
        <v>4.3859649122807015E-3</v>
      </c>
    </row>
    <row r="83" spans="2:18">
      <c r="B83" s="135" t="s">
        <v>127</v>
      </c>
      <c r="C83" s="53" t="s">
        <v>289</v>
      </c>
      <c r="D83" s="43" t="s">
        <v>3</v>
      </c>
      <c r="E83" s="172"/>
      <c r="F83" s="172"/>
      <c r="G83" s="192">
        <v>4.0999999999999995E-2</v>
      </c>
      <c r="H83" s="192">
        <v>3.8806489063750615E-2</v>
      </c>
      <c r="I83" s="192">
        <v>4.1628122109158186E-2</v>
      </c>
      <c r="J83" s="192">
        <v>3.4000000000000002E-2</v>
      </c>
      <c r="K83" s="192">
        <v>3.8500670981314634E-2</v>
      </c>
      <c r="L83" s="192">
        <v>4.2892570515405022E-2</v>
      </c>
      <c r="M83" s="192">
        <v>5.0999999999999997E-2</v>
      </c>
      <c r="N83" s="192">
        <v>3.7604908715970192E-2</v>
      </c>
      <c r="O83" s="192">
        <v>2.1428571428571429E-2</v>
      </c>
      <c r="P83" s="514">
        <v>2.1802325581395349E-2</v>
      </c>
      <c r="Q83" s="511">
        <v>1.3157894736842105E-2</v>
      </c>
    </row>
    <row r="84" spans="2:18">
      <c r="B84" s="135" t="s">
        <v>128</v>
      </c>
      <c r="C84" s="53" t="s">
        <v>289</v>
      </c>
      <c r="D84" s="43" t="s">
        <v>3</v>
      </c>
      <c r="E84" s="172"/>
      <c r="F84" s="172"/>
      <c r="G84" s="192">
        <v>0.29399999999999998</v>
      </c>
      <c r="H84" s="192">
        <v>0.20441776316573301</v>
      </c>
      <c r="I84" s="192">
        <v>0.12210915818686402</v>
      </c>
      <c r="J84" s="192">
        <v>0.217</v>
      </c>
      <c r="K84" s="192">
        <v>0.2414679106201007</v>
      </c>
      <c r="L84" s="192">
        <v>0.20746637820393518</v>
      </c>
      <c r="M84" s="192">
        <v>0.15</v>
      </c>
      <c r="N84" s="192">
        <v>0.17608274242885597</v>
      </c>
      <c r="O84" s="192">
        <v>7.7142857142857138E-2</v>
      </c>
      <c r="P84" s="514">
        <v>5.9593023255813955E-2</v>
      </c>
      <c r="Q84" s="511">
        <v>4.5321637426900582E-2</v>
      </c>
    </row>
    <row r="85" spans="2:18">
      <c r="B85" s="135" t="s">
        <v>129</v>
      </c>
      <c r="C85" s="53" t="s">
        <v>289</v>
      </c>
      <c r="D85" s="43" t="s">
        <v>3</v>
      </c>
      <c r="E85" s="172"/>
      <c r="F85" s="172"/>
      <c r="G85" s="192">
        <v>0.22899999999999998</v>
      </c>
      <c r="H85" s="192">
        <v>0.23687909897599246</v>
      </c>
      <c r="I85" s="192">
        <v>0.20074005550416282</v>
      </c>
      <c r="J85" s="192">
        <v>0.216</v>
      </c>
      <c r="K85" s="192">
        <v>0.19953204582563594</v>
      </c>
      <c r="L85" s="192">
        <v>0.2186212557085685</v>
      </c>
      <c r="M85" s="192">
        <v>0.21299999999999999</v>
      </c>
      <c r="N85" s="192">
        <v>0.21243369987947919</v>
      </c>
      <c r="O85" s="192">
        <v>0.17571428571428571</v>
      </c>
      <c r="P85" s="514">
        <v>0.16133720930232559</v>
      </c>
      <c r="Q85" s="511">
        <v>0.16228070175438597</v>
      </c>
    </row>
    <row r="86" spans="2:18">
      <c r="B86" s="135" t="s">
        <v>130</v>
      </c>
      <c r="C86" s="53" t="s">
        <v>289</v>
      </c>
      <c r="D86" s="43" t="s">
        <v>3</v>
      </c>
      <c r="E86" s="172"/>
      <c r="F86" s="172"/>
      <c r="G86" s="192">
        <v>0.17699999999999999</v>
      </c>
      <c r="H86" s="192">
        <v>0.20945404669213605</v>
      </c>
      <c r="I86" s="192">
        <v>0.21369102682701202</v>
      </c>
      <c r="J86" s="192">
        <v>0.218</v>
      </c>
      <c r="K86" s="192">
        <v>0.22156796923990579</v>
      </c>
      <c r="L86" s="192">
        <v>0.20542281814546948</v>
      </c>
      <c r="M86" s="192">
        <v>0.186</v>
      </c>
      <c r="N86" s="192">
        <v>0.15316417268207122</v>
      </c>
      <c r="O86" s="192">
        <v>0.19142857142857142</v>
      </c>
      <c r="P86" s="514">
        <v>0.18459302325581395</v>
      </c>
      <c r="Q86" s="511">
        <v>0.18274853801169591</v>
      </c>
    </row>
    <row r="87" spans="2:18">
      <c r="B87" s="135" t="s">
        <v>131</v>
      </c>
      <c r="C87" s="53" t="s">
        <v>289</v>
      </c>
      <c r="D87" s="43" t="s">
        <v>3</v>
      </c>
      <c r="E87" s="172"/>
      <c r="F87" s="172"/>
      <c r="G87" s="192">
        <v>0.12</v>
      </c>
      <c r="H87" s="192">
        <v>0.12933975654672752</v>
      </c>
      <c r="I87" s="192">
        <v>0.1702127659574468</v>
      </c>
      <c r="J87" s="192">
        <v>0.13200000000000001</v>
      </c>
      <c r="K87" s="192">
        <v>0.15766634063027671</v>
      </c>
      <c r="L87" s="192">
        <v>0.16714307997975933</v>
      </c>
      <c r="M87" s="192">
        <v>0.19500000000000001</v>
      </c>
      <c r="N87" s="192">
        <v>0.17786984481806098</v>
      </c>
      <c r="O87" s="192">
        <v>0.21571428571428572</v>
      </c>
      <c r="P87" s="514">
        <v>0.21366279069767441</v>
      </c>
      <c r="Q87" s="511">
        <v>0.20614035087719298</v>
      </c>
    </row>
    <row r="88" spans="2:18">
      <c r="B88" s="135" t="s">
        <v>132</v>
      </c>
      <c r="C88" s="53" t="s">
        <v>289</v>
      </c>
      <c r="D88" s="43" t="s">
        <v>3</v>
      </c>
      <c r="E88" s="172"/>
      <c r="F88" s="172"/>
      <c r="G88" s="192">
        <v>7.5999999999999998E-2</v>
      </c>
      <c r="H88" s="192">
        <v>8.9090454129018226E-2</v>
      </c>
      <c r="I88" s="192">
        <v>0.11748381128584644</v>
      </c>
      <c r="J88" s="192">
        <v>0.104</v>
      </c>
      <c r="K88" s="192">
        <v>7.0041512821415672E-2</v>
      </c>
      <c r="L88" s="192">
        <v>8.6777679527744456E-2</v>
      </c>
      <c r="M88" s="192">
        <v>0.10100000000000001</v>
      </c>
      <c r="N88" s="192">
        <v>0.13164069361154618</v>
      </c>
      <c r="O88" s="192">
        <v>0.15142857142857144</v>
      </c>
      <c r="P88" s="514">
        <v>0.17151162790697674</v>
      </c>
      <c r="Q88" s="511">
        <v>0.17543859649122806</v>
      </c>
    </row>
    <row r="89" spans="2:18" ht="20.149999999999999" customHeight="1" thickBot="1">
      <c r="B89" s="137" t="s">
        <v>133</v>
      </c>
      <c r="C89" s="76" t="s">
        <v>289</v>
      </c>
      <c r="D89" s="77" t="s">
        <v>3</v>
      </c>
      <c r="E89" s="185"/>
      <c r="F89" s="185"/>
      <c r="G89" s="195">
        <v>3.5000000000000003E-2</v>
      </c>
      <c r="H89" s="195">
        <v>8.4945650022124841E-2</v>
      </c>
      <c r="I89" s="195">
        <v>0.12950971322849214</v>
      </c>
      <c r="J89" s="195">
        <v>6.9000000000000006E-2</v>
      </c>
      <c r="K89" s="195">
        <v>6.2746026932664817E-2</v>
      </c>
      <c r="L89" s="195">
        <v>6.9328279388259084E-2</v>
      </c>
      <c r="M89" s="195">
        <v>0.1</v>
      </c>
      <c r="N89" s="195">
        <v>0.1059452830658841</v>
      </c>
      <c r="O89" s="195">
        <v>0.16285714285714287</v>
      </c>
      <c r="P89" s="196">
        <v>0.18313953488372092</v>
      </c>
      <c r="Q89" s="512">
        <v>0.21052631578947367</v>
      </c>
    </row>
    <row r="90" spans="2:18" ht="14.15" customHeight="1"/>
    <row r="91" spans="2:18" ht="14.15" customHeight="1" thickBot="1"/>
    <row r="92" spans="2:18" ht="29.15" customHeight="1">
      <c r="B92" s="632" t="s">
        <v>392</v>
      </c>
      <c r="C92" s="633"/>
      <c r="D92" s="633"/>
      <c r="E92" s="633"/>
      <c r="F92" s="633"/>
      <c r="G92" s="633"/>
      <c r="H92" s="634"/>
    </row>
    <row r="93" spans="2:18" ht="20.149999999999999" customHeight="1">
      <c r="B93" s="133" t="s">
        <v>135</v>
      </c>
      <c r="C93" s="198"/>
      <c r="D93" s="43"/>
      <c r="E93" s="199" t="s">
        <v>136</v>
      </c>
      <c r="F93" s="199" t="s">
        <v>137</v>
      </c>
      <c r="G93" s="199" t="s">
        <v>138</v>
      </c>
      <c r="H93" s="200" t="s">
        <v>139</v>
      </c>
    </row>
    <row r="94" spans="2:18">
      <c r="B94" s="135" t="s">
        <v>134</v>
      </c>
      <c r="C94" s="53" t="s">
        <v>289</v>
      </c>
      <c r="D94" s="43" t="s">
        <v>3</v>
      </c>
      <c r="E94" s="510">
        <v>4.3859649122807015E-3</v>
      </c>
      <c r="F94" s="510">
        <v>0</v>
      </c>
      <c r="G94" s="515">
        <v>0</v>
      </c>
      <c r="H94" s="516">
        <v>0</v>
      </c>
    </row>
    <row r="95" spans="2:18">
      <c r="B95" s="135" t="s">
        <v>127</v>
      </c>
      <c r="C95" s="53" t="s">
        <v>289</v>
      </c>
      <c r="D95" s="43" t="s">
        <v>3</v>
      </c>
      <c r="E95" s="510">
        <v>1.023391812865497E-2</v>
      </c>
      <c r="F95" s="510">
        <v>2.9239766081871343E-3</v>
      </c>
      <c r="G95" s="515">
        <v>0</v>
      </c>
      <c r="H95" s="516">
        <v>0</v>
      </c>
    </row>
    <row r="96" spans="2:18">
      <c r="B96" s="135" t="s">
        <v>128</v>
      </c>
      <c r="C96" s="53" t="s">
        <v>289</v>
      </c>
      <c r="D96" s="43" t="s">
        <v>3</v>
      </c>
      <c r="E96" s="510">
        <v>1.023391812865497E-2</v>
      </c>
      <c r="F96" s="510">
        <v>2.1929824561403508E-2</v>
      </c>
      <c r="G96" s="515">
        <v>1.3157894736842105E-2</v>
      </c>
      <c r="H96" s="516">
        <v>0</v>
      </c>
    </row>
    <row r="97" spans="2:17">
      <c r="B97" s="135" t="s">
        <v>129</v>
      </c>
      <c r="C97" s="53" t="s">
        <v>289</v>
      </c>
      <c r="D97" s="43" t="s">
        <v>3</v>
      </c>
      <c r="E97" s="510">
        <v>4.3859649122807015E-3</v>
      </c>
      <c r="F97" s="510">
        <v>1.4619883040935672E-2</v>
      </c>
      <c r="G97" s="515">
        <v>8.3333333333333329E-2</v>
      </c>
      <c r="H97" s="516">
        <v>5.9941520467836254E-2</v>
      </c>
    </row>
    <row r="98" spans="2:17">
      <c r="B98" s="135" t="s">
        <v>130</v>
      </c>
      <c r="C98" s="53" t="s">
        <v>289</v>
      </c>
      <c r="D98" s="43" t="s">
        <v>3</v>
      </c>
      <c r="E98" s="510">
        <v>0</v>
      </c>
      <c r="F98" s="510">
        <v>5.8479532163742687E-3</v>
      </c>
      <c r="G98" s="515">
        <v>4.6783625730994149E-2</v>
      </c>
      <c r="H98" s="516">
        <v>0.13011695906432749</v>
      </c>
    </row>
    <row r="99" spans="2:17">
      <c r="B99" s="135" t="s">
        <v>131</v>
      </c>
      <c r="C99" s="53" t="s">
        <v>289</v>
      </c>
      <c r="D99" s="43" t="s">
        <v>3</v>
      </c>
      <c r="E99" s="510">
        <v>1.4619883040935672E-3</v>
      </c>
      <c r="F99" s="510">
        <v>1.4619883040935672E-3</v>
      </c>
      <c r="G99" s="515">
        <v>2.3391812865497075E-2</v>
      </c>
      <c r="H99" s="516">
        <v>0.17982456140350878</v>
      </c>
    </row>
    <row r="100" spans="2:17">
      <c r="B100" s="135" t="s">
        <v>132</v>
      </c>
      <c r="C100" s="53" t="s">
        <v>289</v>
      </c>
      <c r="D100" s="43" t="s">
        <v>3</v>
      </c>
      <c r="E100" s="510">
        <v>0</v>
      </c>
      <c r="F100" s="510">
        <v>0</v>
      </c>
      <c r="G100" s="515">
        <v>7.3099415204678359E-3</v>
      </c>
      <c r="H100" s="516">
        <v>0.16812865497076024</v>
      </c>
    </row>
    <row r="101" spans="2:17" ht="20.149999999999999" customHeight="1" thickBot="1">
      <c r="B101" s="137" t="s">
        <v>133</v>
      </c>
      <c r="C101" s="53" t="s">
        <v>289</v>
      </c>
      <c r="D101" s="77" t="s">
        <v>3</v>
      </c>
      <c r="E101" s="517">
        <v>0</v>
      </c>
      <c r="F101" s="517">
        <v>0</v>
      </c>
      <c r="G101" s="518">
        <v>1.4619883040935672E-3</v>
      </c>
      <c r="H101" s="512">
        <v>0.20906432748538012</v>
      </c>
    </row>
    <row r="102" spans="2:17" ht="14.9" customHeight="1"/>
    <row r="103" spans="2:17" ht="15" thickBot="1"/>
    <row r="104" spans="2:17" ht="18">
      <c r="B104" s="131" t="s">
        <v>7</v>
      </c>
      <c r="C104" s="139"/>
      <c r="D104" s="39" t="s">
        <v>0</v>
      </c>
      <c r="E104" s="164">
        <v>2009</v>
      </c>
      <c r="F104" s="164">
        <v>2010</v>
      </c>
      <c r="G104" s="164">
        <v>2011</v>
      </c>
      <c r="H104" s="164">
        <v>2012</v>
      </c>
      <c r="I104" s="164">
        <v>2013</v>
      </c>
      <c r="J104" s="164">
        <v>2014</v>
      </c>
      <c r="K104" s="164">
        <v>2015</v>
      </c>
      <c r="L104" s="164">
        <v>2016</v>
      </c>
      <c r="M104" s="164">
        <v>2017</v>
      </c>
      <c r="N104" s="164">
        <v>2018</v>
      </c>
      <c r="O104" s="164">
        <v>2019</v>
      </c>
      <c r="P104" s="164">
        <v>2020</v>
      </c>
      <c r="Q104" s="132">
        <v>2021</v>
      </c>
    </row>
    <row r="105" spans="2:17">
      <c r="B105" s="133" t="s">
        <v>6</v>
      </c>
      <c r="C105" s="148"/>
      <c r="D105" s="43"/>
      <c r="E105" s="165">
        <v>2010</v>
      </c>
      <c r="F105" s="165">
        <v>2011</v>
      </c>
      <c r="G105" s="165">
        <v>2012</v>
      </c>
      <c r="H105" s="165">
        <v>2013</v>
      </c>
      <c r="I105" s="165">
        <v>2014</v>
      </c>
      <c r="J105" s="165">
        <v>2015</v>
      </c>
      <c r="K105" s="165">
        <v>2016</v>
      </c>
      <c r="L105" s="165">
        <v>2017</v>
      </c>
      <c r="M105" s="165">
        <v>2018</v>
      </c>
      <c r="N105" s="165">
        <v>2019</v>
      </c>
      <c r="O105" s="165">
        <v>2020</v>
      </c>
      <c r="P105" s="165">
        <v>2021</v>
      </c>
      <c r="Q105" s="134">
        <v>2022</v>
      </c>
    </row>
    <row r="106" spans="2:17">
      <c r="B106" s="624" t="s">
        <v>229</v>
      </c>
      <c r="C106" s="625"/>
      <c r="D106" s="625"/>
      <c r="E106" s="625"/>
      <c r="F106" s="625"/>
      <c r="G106" s="625"/>
      <c r="H106" s="625"/>
      <c r="I106" s="625"/>
      <c r="J106" s="625"/>
      <c r="K106" s="625"/>
      <c r="L106" s="625"/>
      <c r="M106" s="625"/>
      <c r="N106" s="625"/>
      <c r="O106" s="625"/>
      <c r="P106" s="625"/>
      <c r="Q106" s="626"/>
    </row>
    <row r="107" spans="2:17">
      <c r="B107" s="135" t="s">
        <v>228</v>
      </c>
      <c r="C107" s="53" t="s">
        <v>289</v>
      </c>
      <c r="D107" s="43" t="s">
        <v>9</v>
      </c>
      <c r="E107" s="204"/>
      <c r="F107" s="204"/>
      <c r="G107" s="205">
        <v>950</v>
      </c>
      <c r="H107" s="205">
        <v>989</v>
      </c>
      <c r="I107" s="205">
        <v>991</v>
      </c>
      <c r="J107" s="205">
        <v>1027</v>
      </c>
      <c r="K107" s="205">
        <v>1052</v>
      </c>
      <c r="L107" s="205">
        <v>1066.6367320884997</v>
      </c>
      <c r="M107" s="205">
        <v>1102</v>
      </c>
      <c r="N107" s="172"/>
      <c r="O107" s="172"/>
      <c r="P107" s="455"/>
      <c r="Q107" s="154"/>
    </row>
    <row r="108" spans="2:17">
      <c r="B108" s="135" t="s">
        <v>57</v>
      </c>
      <c r="C108" s="53" t="s">
        <v>289</v>
      </c>
      <c r="D108" s="43" t="s">
        <v>9</v>
      </c>
      <c r="E108" s="204"/>
      <c r="F108" s="204"/>
      <c r="G108" s="206">
        <v>166</v>
      </c>
      <c r="H108" s="206">
        <v>187</v>
      </c>
      <c r="I108" s="206">
        <v>216</v>
      </c>
      <c r="J108" s="206">
        <v>223</v>
      </c>
      <c r="K108" s="205">
        <v>210</v>
      </c>
      <c r="L108" s="205">
        <v>200</v>
      </c>
      <c r="M108" s="205">
        <v>201</v>
      </c>
      <c r="N108" s="172"/>
      <c r="O108" s="172"/>
      <c r="P108" s="455"/>
      <c r="Q108" s="154"/>
    </row>
    <row r="109" spans="2:17">
      <c r="B109" s="135" t="s">
        <v>20</v>
      </c>
      <c r="C109" s="105" t="s">
        <v>123</v>
      </c>
      <c r="D109" s="43" t="s">
        <v>9</v>
      </c>
      <c r="E109" s="204"/>
      <c r="F109" s="204"/>
      <c r="G109" s="207">
        <f t="shared" ref="G109:M109" si="6">G107-G108</f>
        <v>784</v>
      </c>
      <c r="H109" s="207">
        <f t="shared" si="6"/>
        <v>802</v>
      </c>
      <c r="I109" s="207">
        <f t="shared" si="6"/>
        <v>775</v>
      </c>
      <c r="J109" s="207">
        <f t="shared" si="6"/>
        <v>804</v>
      </c>
      <c r="K109" s="207">
        <f t="shared" si="6"/>
        <v>842</v>
      </c>
      <c r="L109" s="207">
        <f t="shared" si="6"/>
        <v>866.63673208849968</v>
      </c>
      <c r="M109" s="207">
        <f t="shared" si="6"/>
        <v>901</v>
      </c>
      <c r="N109" s="208"/>
      <c r="O109" s="208"/>
      <c r="P109" s="456"/>
      <c r="Q109" s="155"/>
    </row>
    <row r="110" spans="2:17">
      <c r="B110" s="135" t="s">
        <v>58</v>
      </c>
      <c r="C110" s="53" t="s">
        <v>289</v>
      </c>
      <c r="D110" s="43" t="s">
        <v>9</v>
      </c>
      <c r="E110" s="204"/>
      <c r="F110" s="204"/>
      <c r="G110" s="206">
        <v>553</v>
      </c>
      <c r="H110" s="206">
        <v>601</v>
      </c>
      <c r="I110" s="206">
        <v>609</v>
      </c>
      <c r="J110" s="206">
        <v>601</v>
      </c>
      <c r="K110" s="206">
        <v>625</v>
      </c>
      <c r="L110" s="206">
        <v>652.27652432999969</v>
      </c>
      <c r="M110" s="206">
        <v>682.14975443999538</v>
      </c>
      <c r="N110" s="208"/>
      <c r="O110" s="208"/>
      <c r="P110" s="456"/>
      <c r="Q110" s="155"/>
    </row>
    <row r="111" spans="2:17" ht="24" customHeight="1">
      <c r="B111" s="135" t="s">
        <v>59</v>
      </c>
      <c r="C111" s="105" t="s">
        <v>123</v>
      </c>
      <c r="D111" s="43" t="s">
        <v>3</v>
      </c>
      <c r="E111" s="209"/>
      <c r="F111" s="209"/>
      <c r="G111" s="116">
        <f t="shared" ref="G111:M111" si="7">G110/G109</f>
        <v>0.7053571428571429</v>
      </c>
      <c r="H111" s="116">
        <f t="shared" si="7"/>
        <v>0.74937655860349128</v>
      </c>
      <c r="I111" s="116">
        <f t="shared" si="7"/>
        <v>0.78580645161290319</v>
      </c>
      <c r="J111" s="116">
        <f t="shared" si="7"/>
        <v>0.74751243781094523</v>
      </c>
      <c r="K111" s="116">
        <f t="shared" si="7"/>
        <v>0.74228028503562948</v>
      </c>
      <c r="L111" s="116">
        <f t="shared" si="7"/>
        <v>0.75265275539162135</v>
      </c>
      <c r="M111" s="116">
        <f t="shared" si="7"/>
        <v>0.75710294610432338</v>
      </c>
      <c r="N111" s="210"/>
      <c r="O111" s="210"/>
      <c r="P111" s="457"/>
      <c r="Q111" s="156"/>
    </row>
    <row r="112" spans="2:17">
      <c r="B112" s="624" t="s">
        <v>220</v>
      </c>
      <c r="C112" s="625"/>
      <c r="D112" s="625"/>
      <c r="E112" s="625"/>
      <c r="F112" s="625"/>
      <c r="G112" s="625"/>
      <c r="H112" s="625"/>
      <c r="I112" s="625"/>
      <c r="J112" s="625"/>
      <c r="K112" s="625"/>
      <c r="L112" s="625"/>
      <c r="M112" s="625"/>
      <c r="N112" s="625"/>
      <c r="O112" s="625"/>
      <c r="P112" s="625"/>
      <c r="Q112" s="626"/>
    </row>
    <row r="113" spans="2:21">
      <c r="B113" s="135" t="s">
        <v>204</v>
      </c>
      <c r="C113" s="105" t="s">
        <v>123</v>
      </c>
      <c r="D113" s="43" t="s">
        <v>11</v>
      </c>
      <c r="E113" s="172"/>
      <c r="F113" s="172"/>
      <c r="G113" s="172"/>
      <c r="H113" s="172"/>
      <c r="I113" s="172"/>
      <c r="J113" s="172"/>
      <c r="K113" s="172"/>
      <c r="L113" s="172"/>
      <c r="M113" s="172"/>
      <c r="N113" s="211">
        <f>$C130*'Mise sur le marché'!N42+$C131*'Mise sur le marché'!N41+$C132*'Mise sur le marché'!N45+$C133*'Mise sur le marché'!N48+$C134*'Mise sur le marché'!N39+$C136*'Mise sur le marché'!N38</f>
        <v>1426.7882409941749</v>
      </c>
      <c r="O113" s="211">
        <f>$C130*'Mise sur le marché'!O42+$C131*'Mise sur le marché'!O41+$C132*'Mise sur le marché'!O45+$C133*'Mise sur le marché'!O48+$C134*'Mise sur le marché'!O39+$C136*'Mise sur le marché'!O38</f>
        <v>1443.2085087552764</v>
      </c>
      <c r="P113" s="458">
        <f>$C130*('Mise sur le marché'!P42+'Mise sur le marché'!P43)+$C131*'Mise sur le marché'!P41+$C132*'Mise sur le marché'!P45+$C133*'Mise sur le marché'!P48+$C134*'Mise sur le marché'!P39+$C136*'Mise sur le marché'!P38</f>
        <v>1457.0594759348271</v>
      </c>
      <c r="Q113" s="157">
        <f>$C130*('Mise sur le marché'!Q42+'Mise sur le marché'!Q43)+$C131*'Mise sur le marché'!Q41+$C132*'Mise sur le marché'!Q45+$C133*'Mise sur le marché'!Q48+$C134*'Mise sur le marché'!Q39+$C136*'Mise sur le marché'!Q38</f>
        <v>1437.396686680906</v>
      </c>
      <c r="R113" s="167"/>
    </row>
    <row r="114" spans="2:21">
      <c r="B114" s="135" t="s">
        <v>203</v>
      </c>
      <c r="C114" s="105" t="s">
        <v>123</v>
      </c>
      <c r="D114" s="43" t="s">
        <v>11</v>
      </c>
      <c r="E114" s="172"/>
      <c r="F114" s="172"/>
      <c r="G114" s="172"/>
      <c r="H114" s="172"/>
      <c r="I114" s="172"/>
      <c r="J114" s="172"/>
      <c r="K114" s="172"/>
      <c r="L114" s="172"/>
      <c r="M114" s="172"/>
      <c r="N114" s="211">
        <f>$C138*'Mise sur le marché'!N54</f>
        <v>2257.2221821723683</v>
      </c>
      <c r="O114" s="211">
        <f>$C138*'Mise sur le marché'!O54</f>
        <v>2295.8290089237735</v>
      </c>
      <c r="P114" s="458">
        <f>$C138*'Mise sur le marché'!P54</f>
        <v>2277.4166817431505</v>
      </c>
      <c r="Q114" s="157">
        <f>$C138*'Mise sur le marché'!Q54</f>
        <v>2296.3002051839781</v>
      </c>
    </row>
    <row r="115" spans="2:21">
      <c r="B115" s="135" t="s">
        <v>205</v>
      </c>
      <c r="C115" s="105" t="s">
        <v>123</v>
      </c>
      <c r="D115" s="43" t="s">
        <v>11</v>
      </c>
      <c r="E115" s="172"/>
      <c r="F115" s="172"/>
      <c r="G115" s="172"/>
      <c r="H115" s="172"/>
      <c r="I115" s="172"/>
      <c r="J115" s="172"/>
      <c r="K115" s="172"/>
      <c r="L115" s="172"/>
      <c r="M115" s="172"/>
      <c r="N115" s="211">
        <f>$C135*'Mise sur le marché'!N39+$C137*'Mise sur le marché'!N38</f>
        <v>185.69735402667453</v>
      </c>
      <c r="O115" s="211">
        <f>$C135*'Mise sur le marché'!O39+$C137*'Mise sur le marché'!O38</f>
        <v>187.30988173711393</v>
      </c>
      <c r="P115" s="458">
        <f>$C135*'Mise sur le marché'!P39+$C137*'Mise sur le marché'!P38</f>
        <v>193.97642394590446</v>
      </c>
      <c r="Q115" s="157">
        <f>$C135*'Mise sur le marché'!Q39+$C137*'Mise sur le marché'!Q38</f>
        <v>185.14766929821891</v>
      </c>
    </row>
    <row r="116" spans="2:21">
      <c r="B116" s="135" t="s">
        <v>206</v>
      </c>
      <c r="C116" s="105" t="s">
        <v>123</v>
      </c>
      <c r="D116" s="43" t="s">
        <v>9</v>
      </c>
      <c r="E116" s="172"/>
      <c r="F116" s="172"/>
      <c r="G116" s="172"/>
      <c r="H116" s="172"/>
      <c r="I116" s="172"/>
      <c r="J116" s="172"/>
      <c r="K116" s="172"/>
      <c r="L116" s="172"/>
      <c r="M116" s="172"/>
      <c r="N116" s="211">
        <f>(N113*$E130+N114*$E138+N115*$E135)/1000</f>
        <v>1140.8422826997855</v>
      </c>
      <c r="O116" s="211">
        <f>(O113*$E130+O114*$E138+O115*$E135)/1000</f>
        <v>1154.7562373574888</v>
      </c>
      <c r="P116" s="458">
        <f>(P113*$E130+P114*$E138+P115*$E135)/1000</f>
        <v>1164.1619001987146</v>
      </c>
      <c r="Q116" s="157">
        <f t="shared" ref="Q116" si="8">(Q113*$E130+Q114*$E138+Q115*$E135)/1000</f>
        <v>1150.4464506771528</v>
      </c>
    </row>
    <row r="117" spans="2:21">
      <c r="B117" s="135" t="s">
        <v>207</v>
      </c>
      <c r="C117" s="105" t="s">
        <v>123</v>
      </c>
      <c r="D117" s="43" t="s">
        <v>9</v>
      </c>
      <c r="E117" s="172"/>
      <c r="F117" s="172"/>
      <c r="G117" s="172"/>
      <c r="H117" s="172"/>
      <c r="I117" s="172"/>
      <c r="J117" s="172"/>
      <c r="K117" s="172"/>
      <c r="L117" s="172"/>
      <c r="M117" s="172"/>
      <c r="N117" s="211">
        <f>($C130*J142*('Mise sur le marché'!N42+'Mise sur le marché'!N43)+$C131*J143*'Mise sur le marché'!N41+$C132*J144*'Mise sur le marché'!N45+$C133*J145*'Mise sur le marché'!N48+$C134*J146*'Mise sur le marché'!N39+$C135*J147*'Mise sur le marché'!N39+$C136*J148*'Mise sur le marché'!N38+$C137*J149*'Mise sur le marché'!N38+$C138*J150*'Mise sur le marché'!N54)/1000</f>
        <v>244.51373374454087</v>
      </c>
      <c r="O117" s="211">
        <f>($C130*L142*('Mise sur le marché'!O42+'Mise sur le marché'!O43)+$C131*L143*'Mise sur le marché'!O41+$C132*L144*'Mise sur le marché'!O45+14982.0681927489+$C134*L146*'Mise sur le marché'!O39+$C135*L147*'Mise sur le marché'!O39+$C136*L148*'Mise sur le marché'!O38+$C137*L149*'Mise sur le marché'!O38+$C138*L150*'Mise sur le marché'!O54)/1000</f>
        <v>241.12443324353458</v>
      </c>
      <c r="P117" s="458">
        <f>($C130*M142*('Mise sur le marché'!P42+'Mise sur le marché'!P43)+$C131*M143*'Mise sur le marché'!P41+$C132*M144*'Mise sur le marché'!P45+15085.2608371079+$C134*M146*'Mise sur le marché'!P39+$C135*M147*'Mise sur le marché'!P39+$C136*M148*'Mise sur le marché'!P38+$C137*M149*'Mise sur le marché'!P38+$C138*M150*'Mise sur le marché'!P54)/1000</f>
        <v>216.26968684651365</v>
      </c>
      <c r="Q117" s="157">
        <f>($C130*M142*('Mise sur le marché'!Q42+'Mise sur le marché'!Q43)+$C131*M143*'Mise sur le marché'!Q41+$C132*M144*'Mise sur le marché'!Q45+15024.3402497443+$C134*M146*'Mise sur le marché'!Q39+$C135*M147*'Mise sur le marché'!Q39+$C136*M148*'Mise sur le marché'!Q38+$C137*M149*'Mise sur le marché'!Q38+$C138*M150*'Mise sur le marché'!Q54)/1000</f>
        <v>214.04047626768428</v>
      </c>
    </row>
    <row r="118" spans="2:21">
      <c r="B118" s="135" t="s">
        <v>208</v>
      </c>
      <c r="C118" s="105" t="s">
        <v>123</v>
      </c>
      <c r="D118" s="43" t="s">
        <v>9</v>
      </c>
      <c r="E118" s="172"/>
      <c r="F118" s="172"/>
      <c r="G118" s="208"/>
      <c r="H118" s="208"/>
      <c r="I118" s="208"/>
      <c r="J118" s="208"/>
      <c r="K118" s="208"/>
      <c r="L118" s="208"/>
      <c r="M118" s="208"/>
      <c r="N118" s="211">
        <f>N116-N117</f>
        <v>896.32854895524463</v>
      </c>
      <c r="O118" s="211">
        <f>O116-O117</f>
        <v>913.63180411395422</v>
      </c>
      <c r="P118" s="458">
        <f>P116-P117</f>
        <v>947.892213352201</v>
      </c>
      <c r="Q118" s="157">
        <f>Q116-Q117</f>
        <v>936.40597440946851</v>
      </c>
    </row>
    <row r="119" spans="2:21">
      <c r="B119" s="135" t="s">
        <v>223</v>
      </c>
      <c r="C119" s="105" t="s">
        <v>123</v>
      </c>
      <c r="D119" s="43" t="s">
        <v>9</v>
      </c>
      <c r="E119" s="172"/>
      <c r="F119" s="172"/>
      <c r="G119" s="208"/>
      <c r="H119" s="208"/>
      <c r="I119" s="208"/>
      <c r="J119" s="208"/>
      <c r="K119" s="208"/>
      <c r="L119" s="208"/>
      <c r="M119" s="212"/>
      <c r="N119" s="211">
        <f>N37-N24-N35</f>
        <v>592.36217722048218</v>
      </c>
      <c r="O119" s="211">
        <f>O37-O24-O35</f>
        <v>600.37845690000017</v>
      </c>
      <c r="P119" s="458">
        <f>P37-P24-P35</f>
        <v>610.6140052799999</v>
      </c>
      <c r="Q119" s="157">
        <f>Q37-Q24-Q35</f>
        <v>621.18285318000005</v>
      </c>
      <c r="R119" s="183"/>
    </row>
    <row r="120" spans="2:21">
      <c r="B120" s="135" t="s">
        <v>224</v>
      </c>
      <c r="C120" s="105" t="s">
        <v>123</v>
      </c>
      <c r="D120" s="43" t="s">
        <v>9</v>
      </c>
      <c r="E120" s="172"/>
      <c r="F120" s="172"/>
      <c r="G120" s="208"/>
      <c r="H120" s="208"/>
      <c r="I120" s="208"/>
      <c r="J120" s="208"/>
      <c r="K120" s="208"/>
      <c r="L120" s="208"/>
      <c r="M120" s="212"/>
      <c r="N120" s="211">
        <f>N40+N41+N48</f>
        <v>22.339047610000001</v>
      </c>
      <c r="O120" s="211">
        <f>O40+O41+O48</f>
        <v>23.661511100000002</v>
      </c>
      <c r="P120" s="211">
        <f>P40+P41+P48</f>
        <v>28.052743070000002</v>
      </c>
      <c r="Q120" s="157">
        <f>Q40+Q41+Q48</f>
        <v>28.566322790000001</v>
      </c>
      <c r="S120" s="184"/>
      <c r="T120" s="33"/>
      <c r="U120" s="33"/>
    </row>
    <row r="121" spans="2:21">
      <c r="B121" s="135" t="s">
        <v>315</v>
      </c>
      <c r="C121" s="47" t="s">
        <v>141</v>
      </c>
      <c r="D121" s="43" t="s">
        <v>9</v>
      </c>
      <c r="E121" s="172"/>
      <c r="F121" s="172"/>
      <c r="G121" s="208"/>
      <c r="H121" s="208"/>
      <c r="I121" s="208"/>
      <c r="J121" s="208"/>
      <c r="K121" s="208"/>
      <c r="L121" s="208"/>
      <c r="M121" s="212"/>
      <c r="N121" s="173">
        <v>7.5</v>
      </c>
      <c r="O121" s="173">
        <v>34.819786209999997</v>
      </c>
      <c r="P121" s="452">
        <v>4.2224488500000001</v>
      </c>
      <c r="Q121" s="213">
        <v>32.916990769999998</v>
      </c>
    </row>
    <row r="122" spans="2:21">
      <c r="B122" s="135" t="s">
        <v>225</v>
      </c>
      <c r="C122" s="47" t="s">
        <v>123</v>
      </c>
      <c r="D122" s="43" t="s">
        <v>9</v>
      </c>
      <c r="E122" s="172"/>
      <c r="F122" s="172"/>
      <c r="G122" s="208"/>
      <c r="H122" s="208"/>
      <c r="I122" s="208"/>
      <c r="J122" s="208"/>
      <c r="K122" s="208"/>
      <c r="L122" s="208"/>
      <c r="M122" s="214"/>
      <c r="N122" s="126">
        <v>30.658096580773101</v>
      </c>
      <c r="O122" s="173">
        <v>28.470399060157501</v>
      </c>
      <c r="P122" s="458">
        <f>P24+SUM(P53:P56)</f>
        <v>26.583615178882447</v>
      </c>
      <c r="Q122" s="157">
        <f>Q24+SUM(Q53:Q56)</f>
        <v>28.57480012139073</v>
      </c>
    </row>
    <row r="123" spans="2:21">
      <c r="B123" s="135" t="s">
        <v>317</v>
      </c>
      <c r="C123" s="47" t="s">
        <v>123</v>
      </c>
      <c r="D123" s="43" t="s">
        <v>9</v>
      </c>
      <c r="E123" s="172"/>
      <c r="F123" s="172"/>
      <c r="G123" s="208"/>
      <c r="H123" s="208"/>
      <c r="I123" s="208"/>
      <c r="J123" s="208"/>
      <c r="K123" s="208"/>
      <c r="L123" s="208"/>
      <c r="M123" s="215"/>
      <c r="N123" s="126">
        <v>6.0559555052493197</v>
      </c>
      <c r="O123" s="173">
        <v>6.5223148443500003</v>
      </c>
      <c r="P123" s="211">
        <f>P47+P51</f>
        <v>6.8967318300000002</v>
      </c>
      <c r="Q123" s="157">
        <f>Q47+Q51</f>
        <v>7.8923955400000008</v>
      </c>
    </row>
    <row r="124" spans="2:21">
      <c r="B124" s="135" t="s">
        <v>226</v>
      </c>
      <c r="C124" s="47" t="s">
        <v>123</v>
      </c>
      <c r="D124" s="43" t="s">
        <v>9</v>
      </c>
      <c r="E124" s="172"/>
      <c r="F124" s="172"/>
      <c r="G124" s="208"/>
      <c r="H124" s="208"/>
      <c r="I124" s="208"/>
      <c r="J124" s="208"/>
      <c r="K124" s="208"/>
      <c r="L124" s="208"/>
      <c r="M124" s="208"/>
      <c r="N124" s="211">
        <f>N35+N42</f>
        <v>0</v>
      </c>
      <c r="O124" s="211">
        <f>O35+O42</f>
        <v>0</v>
      </c>
      <c r="P124" s="458">
        <f>P35+P42</f>
        <v>0.51900533000000015</v>
      </c>
      <c r="Q124" s="157">
        <f>Q35+Q42</f>
        <v>0.6858340100000001</v>
      </c>
      <c r="R124" s="83"/>
    </row>
    <row r="125" spans="2:21">
      <c r="B125" s="135" t="s">
        <v>227</v>
      </c>
      <c r="C125" s="105" t="s">
        <v>123</v>
      </c>
      <c r="D125" s="43" t="s">
        <v>9</v>
      </c>
      <c r="E125" s="172"/>
      <c r="F125" s="172"/>
      <c r="G125" s="208"/>
      <c r="H125" s="208"/>
      <c r="I125" s="208"/>
      <c r="J125" s="208"/>
      <c r="K125" s="208"/>
      <c r="L125" s="208"/>
      <c r="M125" s="208"/>
      <c r="N125" s="211">
        <f>SUM(N119:N124)</f>
        <v>658.91527691650458</v>
      </c>
      <c r="O125" s="211">
        <f>SUM(O119:O124)</f>
        <v>693.8524681145077</v>
      </c>
      <c r="P125" s="458">
        <f>SUM(P119:P124)</f>
        <v>676.88854953888244</v>
      </c>
      <c r="Q125" s="157">
        <f>SUM(Q119:Q124)</f>
        <v>719.81919641139075</v>
      </c>
      <c r="R125" s="168"/>
    </row>
    <row r="126" spans="2:21">
      <c r="B126" s="135" t="s">
        <v>253</v>
      </c>
      <c r="C126" s="105" t="s">
        <v>123</v>
      </c>
      <c r="D126" s="43" t="s">
        <v>9</v>
      </c>
      <c r="E126" s="172"/>
      <c r="F126" s="172"/>
      <c r="G126" s="216"/>
      <c r="H126" s="216"/>
      <c r="I126" s="216"/>
      <c r="J126" s="216"/>
      <c r="K126" s="216"/>
      <c r="L126" s="216"/>
      <c r="M126" s="216"/>
      <c r="N126" s="217">
        <f>N118+N122/0.8-N124</f>
        <v>934.65116968121106</v>
      </c>
      <c r="O126" s="217">
        <f>O118+O122/0.8-O124</f>
        <v>949.21980293915112</v>
      </c>
      <c r="P126" s="459">
        <f>P118+P122/0.8-P124</f>
        <v>980.60272699580401</v>
      </c>
      <c r="Q126" s="218">
        <f>Q118+Q122/0.8-Q124</f>
        <v>971.43864055120696</v>
      </c>
    </row>
    <row r="127" spans="2:21" ht="15" thickBot="1">
      <c r="B127" s="137" t="s">
        <v>59</v>
      </c>
      <c r="C127" s="62" t="s">
        <v>123</v>
      </c>
      <c r="D127" s="77" t="s">
        <v>3</v>
      </c>
      <c r="E127" s="185"/>
      <c r="F127" s="185"/>
      <c r="G127" s="80"/>
      <c r="H127" s="80"/>
      <c r="I127" s="80"/>
      <c r="J127" s="80"/>
      <c r="K127" s="80"/>
      <c r="L127" s="80"/>
      <c r="M127" s="80"/>
      <c r="N127" s="118">
        <f>N125/(N126+N124)</f>
        <v>0.70498523758467668</v>
      </c>
      <c r="O127" s="118">
        <f>O125/(O126+O124)</f>
        <v>0.7309713366346472</v>
      </c>
      <c r="P127" s="410">
        <f>P125/(P126+P124)</f>
        <v>0.68991291012816547</v>
      </c>
      <c r="Q127" s="119">
        <f>Q125/(Q126+Q124)</f>
        <v>0.74045990533907646</v>
      </c>
    </row>
    <row r="128" spans="2:21">
      <c r="B128" s="635" t="s">
        <v>221</v>
      </c>
      <c r="C128" s="636"/>
      <c r="D128" s="636"/>
      <c r="E128" s="636"/>
      <c r="F128" s="636"/>
      <c r="G128" s="636"/>
      <c r="H128" s="636"/>
      <c r="I128" s="636"/>
      <c r="J128" s="636"/>
      <c r="K128" s="636"/>
      <c r="L128" s="636"/>
      <c r="M128" s="636"/>
      <c r="N128" s="636"/>
      <c r="O128" s="636"/>
      <c r="P128" s="636"/>
      <c r="Q128" s="636"/>
    </row>
    <row r="129" spans="2:18">
      <c r="B129" s="161" t="s">
        <v>209</v>
      </c>
      <c r="C129" s="219" t="s">
        <v>3</v>
      </c>
      <c r="E129" s="476" t="s">
        <v>219</v>
      </c>
      <c r="J129" s="639" t="s">
        <v>222</v>
      </c>
      <c r="K129" s="639"/>
      <c r="L129" s="639"/>
      <c r="M129" s="639"/>
      <c r="N129" s="639"/>
      <c r="O129" s="639"/>
      <c r="P129" s="639"/>
      <c r="Q129" s="639"/>
    </row>
    <row r="130" spans="2:18">
      <c r="B130" s="161" t="s">
        <v>210</v>
      </c>
      <c r="C130" s="103">
        <v>0.72738071364458112</v>
      </c>
      <c r="E130" s="205">
        <v>650</v>
      </c>
      <c r="G130" s="471"/>
      <c r="J130" s="220">
        <v>75.738</v>
      </c>
      <c r="K130" s="221">
        <v>89.6</v>
      </c>
      <c r="L130" s="221">
        <v>97.308999999999983</v>
      </c>
      <c r="M130" s="221">
        <v>106.8</v>
      </c>
      <c r="N130" s="220">
        <v>75.2</v>
      </c>
      <c r="O130" s="220">
        <v>48.841840185226999</v>
      </c>
      <c r="P130" s="480">
        <v>30.8775217553051</v>
      </c>
      <c r="Q130" s="480">
        <v>146.33956278418441</v>
      </c>
    </row>
    <row r="131" spans="2:18">
      <c r="B131" s="161" t="s">
        <v>211</v>
      </c>
      <c r="C131" s="103">
        <v>0.55429260218782106</v>
      </c>
      <c r="E131" s="205">
        <v>650</v>
      </c>
      <c r="G131" s="471"/>
      <c r="J131" s="220" t="s">
        <v>313</v>
      </c>
      <c r="K131" s="220">
        <v>8.1999999999999993</v>
      </c>
      <c r="L131" s="221">
        <v>7.6</v>
      </c>
      <c r="M131" s="221">
        <v>8.1</v>
      </c>
      <c r="N131" s="220">
        <v>10.7</v>
      </c>
      <c r="O131" s="220">
        <v>10.199999999999999</v>
      </c>
      <c r="P131" s="480">
        <v>7.6</v>
      </c>
      <c r="Q131" s="480">
        <v>11.071444026582865</v>
      </c>
    </row>
    <row r="132" spans="2:18">
      <c r="B132" s="161" t="s">
        <v>212</v>
      </c>
      <c r="C132" s="103">
        <v>0.69681649272636292</v>
      </c>
      <c r="E132" s="205">
        <v>650</v>
      </c>
      <c r="G132" s="471"/>
      <c r="J132" s="220">
        <v>255.67500000000001</v>
      </c>
      <c r="K132" s="221">
        <v>211.8</v>
      </c>
      <c r="L132" s="220">
        <v>187.982</v>
      </c>
      <c r="M132" s="220">
        <v>158.4</v>
      </c>
      <c r="N132" s="220" t="s">
        <v>313</v>
      </c>
      <c r="O132" s="220" t="s">
        <v>313</v>
      </c>
      <c r="P132" s="480" t="s">
        <v>313</v>
      </c>
      <c r="Q132" s="480" t="s">
        <v>313</v>
      </c>
    </row>
    <row r="133" spans="2:18">
      <c r="B133" s="161" t="s">
        <v>218</v>
      </c>
      <c r="C133" s="103">
        <v>0.18784891850795143</v>
      </c>
      <c r="E133" s="205">
        <v>650</v>
      </c>
      <c r="G133" s="471"/>
      <c r="J133" s="220" t="s">
        <v>313</v>
      </c>
      <c r="K133" s="220" t="s">
        <v>313</v>
      </c>
      <c r="L133" s="220" t="s">
        <v>313</v>
      </c>
      <c r="M133" s="220">
        <v>73</v>
      </c>
      <c r="N133" s="220" t="s">
        <v>313</v>
      </c>
      <c r="O133" s="220" t="s">
        <v>313</v>
      </c>
      <c r="P133" s="480" t="s">
        <v>313</v>
      </c>
      <c r="Q133" s="480" t="s">
        <v>313</v>
      </c>
    </row>
    <row r="134" spans="2:18">
      <c r="B134" s="161" t="s">
        <v>213</v>
      </c>
      <c r="C134" s="103">
        <v>0.21513481994367534</v>
      </c>
      <c r="E134" s="205">
        <v>650</v>
      </c>
      <c r="G134" s="471"/>
      <c r="J134" s="220">
        <v>467.33280000000002</v>
      </c>
      <c r="K134" s="221">
        <v>469.2</v>
      </c>
      <c r="L134" s="221">
        <v>424.1</v>
      </c>
      <c r="M134" s="221">
        <v>477.6</v>
      </c>
      <c r="N134" s="220">
        <v>513.20000000000005</v>
      </c>
      <c r="O134" s="220">
        <v>455</v>
      </c>
      <c r="P134" s="480">
        <v>358.1</v>
      </c>
      <c r="Q134" s="480">
        <v>605.26626709851894</v>
      </c>
    </row>
    <row r="135" spans="2:18">
      <c r="B135" s="161" t="s">
        <v>214</v>
      </c>
      <c r="C135" s="103">
        <v>0.25539732801886023</v>
      </c>
      <c r="E135" s="205">
        <v>262</v>
      </c>
      <c r="G135" s="471"/>
      <c r="J135" s="220">
        <v>636.64300000000003</v>
      </c>
      <c r="K135" s="221">
        <v>589.5</v>
      </c>
      <c r="L135" s="221">
        <v>526.43280000000004</v>
      </c>
      <c r="M135" s="221">
        <v>596.29999999999995</v>
      </c>
      <c r="N135" s="220">
        <v>635</v>
      </c>
      <c r="O135" s="220">
        <v>485.4</v>
      </c>
      <c r="P135" s="480">
        <v>230.7</v>
      </c>
      <c r="Q135" s="480">
        <v>650.20000000000005</v>
      </c>
      <c r="R135" s="184"/>
    </row>
    <row r="136" spans="2:18">
      <c r="B136" s="161" t="s">
        <v>215</v>
      </c>
      <c r="C136" s="103">
        <v>0.49634375880744513</v>
      </c>
      <c r="E136" s="205">
        <v>650</v>
      </c>
      <c r="G136" s="471"/>
      <c r="J136" s="220">
        <v>134.18699999999998</v>
      </c>
      <c r="K136" s="221">
        <v>109.2</v>
      </c>
      <c r="L136" s="221">
        <v>81.532700000000006</v>
      </c>
      <c r="M136" s="221">
        <v>108.31599999999997</v>
      </c>
      <c r="N136" s="220">
        <v>131.19999999999999</v>
      </c>
      <c r="O136" s="220">
        <v>105.5</v>
      </c>
      <c r="P136" s="480">
        <v>86.9</v>
      </c>
      <c r="Q136" s="480">
        <v>186.24603371001689</v>
      </c>
    </row>
    <row r="137" spans="2:18">
      <c r="B137" s="161" t="s">
        <v>216</v>
      </c>
      <c r="C137" s="103">
        <v>0.64253623628003764</v>
      </c>
      <c r="E137" s="205">
        <v>262</v>
      </c>
      <c r="G137" s="471"/>
      <c r="J137" s="220">
        <v>56.7</v>
      </c>
      <c r="K137" s="221">
        <v>47.3</v>
      </c>
      <c r="L137" s="221">
        <v>30.273599999999998</v>
      </c>
      <c r="M137" s="221">
        <v>38.61</v>
      </c>
      <c r="N137" s="220">
        <v>56</v>
      </c>
      <c r="O137" s="220">
        <v>32.299999999999997</v>
      </c>
      <c r="P137" s="480">
        <v>15.4</v>
      </c>
      <c r="Q137" s="480">
        <v>98.6</v>
      </c>
    </row>
    <row r="138" spans="2:18">
      <c r="B138" s="161" t="s">
        <v>217</v>
      </c>
      <c r="C138" s="103">
        <v>0.89720907156316076</v>
      </c>
      <c r="E138" s="205">
        <v>73</v>
      </c>
      <c r="G138" s="471"/>
      <c r="J138" s="220">
        <v>22.4</v>
      </c>
      <c r="K138" s="221">
        <v>23.3</v>
      </c>
      <c r="L138" s="221">
        <v>23.3</v>
      </c>
      <c r="M138" s="221">
        <v>23.5</v>
      </c>
      <c r="N138" s="220">
        <v>24.38</v>
      </c>
      <c r="O138" s="220">
        <v>24.38</v>
      </c>
      <c r="P138" s="480">
        <v>18.79</v>
      </c>
      <c r="Q138" s="480">
        <v>16.84</v>
      </c>
    </row>
    <row r="139" spans="2:18">
      <c r="B139" s="161" t="s">
        <v>318</v>
      </c>
      <c r="D139" s="36"/>
      <c r="G139" s="471"/>
      <c r="J139" s="220"/>
      <c r="K139" s="220"/>
      <c r="L139" s="221">
        <v>188</v>
      </c>
      <c r="M139" s="221">
        <v>158</v>
      </c>
      <c r="N139" s="220">
        <v>200.3</v>
      </c>
      <c r="O139" s="220">
        <v>202.3</v>
      </c>
      <c r="P139" s="480">
        <v>118.1</v>
      </c>
      <c r="Q139" s="480">
        <v>236.85551988395193</v>
      </c>
    </row>
    <row r="140" spans="2:18">
      <c r="B140" s="161"/>
      <c r="C140" s="162"/>
      <c r="E140" s="222"/>
      <c r="J140" s="163"/>
      <c r="K140" s="163"/>
      <c r="L140" s="223"/>
      <c r="M140" s="223"/>
      <c r="N140" s="163"/>
      <c r="O140" s="163"/>
      <c r="P140" s="163"/>
      <c r="Q140" s="163"/>
    </row>
    <row r="141" spans="2:18">
      <c r="B141" s="161" t="s">
        <v>319</v>
      </c>
      <c r="J141" s="224" t="s">
        <v>467</v>
      </c>
      <c r="K141" s="224" t="s">
        <v>468</v>
      </c>
      <c r="L141" s="224" t="s">
        <v>469</v>
      </c>
      <c r="M141" s="224" t="s">
        <v>470</v>
      </c>
      <c r="N141" s="225"/>
    </row>
    <row r="142" spans="2:18">
      <c r="B142" s="161" t="s">
        <v>210</v>
      </c>
      <c r="J142" s="226">
        <f>AVERAGE(J130:M130)</f>
        <v>92.361750000000001</v>
      </c>
      <c r="K142" s="226">
        <f>AVERAGE(K130:N130)</f>
        <v>92.227249999999998</v>
      </c>
      <c r="L142" s="227">
        <f>AVERAGE(L130:O130)</f>
        <v>82.037710046306742</v>
      </c>
      <c r="M142" s="227">
        <f>AVERAGE(M130:P130)</f>
        <v>65.429840485133028</v>
      </c>
    </row>
    <row r="143" spans="2:18">
      <c r="B143" s="161" t="s">
        <v>211</v>
      </c>
      <c r="J143" s="226">
        <f t="shared" ref="J143:J150" si="9">AVERAGE(J131:M131)</f>
        <v>7.9666666666666659</v>
      </c>
      <c r="K143" s="226">
        <f t="shared" ref="K143:M150" si="10">AVERAGE(K131:N131)</f>
        <v>8.6499999999999986</v>
      </c>
      <c r="L143" s="227">
        <f t="shared" si="10"/>
        <v>9.1499999999999986</v>
      </c>
      <c r="M143" s="227">
        <f t="shared" si="10"/>
        <v>9.1499999999999986</v>
      </c>
    </row>
    <row r="144" spans="2:18">
      <c r="B144" s="161" t="s">
        <v>212</v>
      </c>
      <c r="J144" s="226">
        <f t="shared" si="9"/>
        <v>203.46424999999999</v>
      </c>
      <c r="K144" s="226">
        <f t="shared" si="10"/>
        <v>186.06066666666666</v>
      </c>
      <c r="L144" s="227">
        <f>AVERAGE(L139:O139)</f>
        <v>187.14999999999998</v>
      </c>
      <c r="M144" s="227">
        <f>AVERAGE(M139:P139)</f>
        <v>169.67500000000001</v>
      </c>
    </row>
    <row r="145" spans="2:17">
      <c r="B145" s="161" t="s">
        <v>218</v>
      </c>
      <c r="J145" s="226">
        <f>AVERAGE(J133:M133)</f>
        <v>73</v>
      </c>
      <c r="K145" s="226">
        <f t="shared" si="10"/>
        <v>73</v>
      </c>
      <c r="L145" s="227">
        <f>AVERAGE(L139:O139)</f>
        <v>187.14999999999998</v>
      </c>
      <c r="M145" s="227">
        <f>AVERAGE(M139:P139)</f>
        <v>169.67500000000001</v>
      </c>
    </row>
    <row r="146" spans="2:17">
      <c r="B146" s="161" t="s">
        <v>213</v>
      </c>
      <c r="J146" s="226">
        <f t="shared" si="9"/>
        <v>459.55819999999994</v>
      </c>
      <c r="K146" s="226">
        <f t="shared" si="10"/>
        <v>471.02500000000003</v>
      </c>
      <c r="L146" s="227">
        <f t="shared" si="10"/>
        <v>467.47500000000002</v>
      </c>
      <c r="M146" s="227">
        <f t="shared" si="10"/>
        <v>450.97500000000002</v>
      </c>
    </row>
    <row r="147" spans="2:17">
      <c r="B147" s="161" t="s">
        <v>214</v>
      </c>
      <c r="J147" s="226">
        <f t="shared" si="9"/>
        <v>587.21894999999995</v>
      </c>
      <c r="K147" s="226">
        <f t="shared" si="10"/>
        <v>586.80819999999994</v>
      </c>
      <c r="L147" s="227">
        <f t="shared" si="10"/>
        <v>560.78319999999997</v>
      </c>
      <c r="M147" s="227">
        <f t="shared" si="10"/>
        <v>486.84999999999997</v>
      </c>
    </row>
    <row r="148" spans="2:17">
      <c r="B148" s="161" t="s">
        <v>215</v>
      </c>
      <c r="J148" s="226">
        <f t="shared" si="9"/>
        <v>108.308925</v>
      </c>
      <c r="K148" s="226">
        <f t="shared" si="10"/>
        <v>107.562175</v>
      </c>
      <c r="L148" s="227">
        <f t="shared" si="10"/>
        <v>106.63717499999998</v>
      </c>
      <c r="M148" s="227">
        <f t="shared" si="10"/>
        <v>107.97899999999998</v>
      </c>
    </row>
    <row r="149" spans="2:17">
      <c r="B149" s="161" t="s">
        <v>216</v>
      </c>
      <c r="J149" s="226">
        <f t="shared" si="9"/>
        <v>43.2209</v>
      </c>
      <c r="K149" s="226">
        <f t="shared" si="10"/>
        <v>43.045900000000003</v>
      </c>
      <c r="L149" s="227">
        <f t="shared" si="10"/>
        <v>39.295900000000003</v>
      </c>
      <c r="M149" s="227">
        <f t="shared" si="10"/>
        <v>35.577500000000001</v>
      </c>
    </row>
    <row r="150" spans="2:17">
      <c r="B150" s="161" t="s">
        <v>217</v>
      </c>
      <c r="J150" s="226">
        <f t="shared" si="9"/>
        <v>23.125</v>
      </c>
      <c r="K150" s="226">
        <f t="shared" si="10"/>
        <v>23.619999999999997</v>
      </c>
      <c r="L150" s="227">
        <f t="shared" si="10"/>
        <v>23.889999999999997</v>
      </c>
      <c r="M150" s="227">
        <f t="shared" si="10"/>
        <v>22.762499999999996</v>
      </c>
    </row>
    <row r="152" spans="2:17" ht="15" thickBot="1">
      <c r="B152" s="2"/>
      <c r="C152" s="2"/>
      <c r="D152" s="2"/>
      <c r="E152" s="2"/>
      <c r="F152" s="2"/>
    </row>
    <row r="153" spans="2:17" ht="18">
      <c r="B153" s="131" t="s">
        <v>7</v>
      </c>
      <c r="C153" s="139"/>
      <c r="D153" s="39" t="s">
        <v>0</v>
      </c>
      <c r="E153" s="164">
        <v>2009</v>
      </c>
      <c r="F153" s="164">
        <v>2010</v>
      </c>
      <c r="G153" s="164">
        <v>2011</v>
      </c>
      <c r="H153" s="164">
        <v>2012</v>
      </c>
      <c r="I153" s="164">
        <v>2013</v>
      </c>
      <c r="J153" s="164">
        <v>2014</v>
      </c>
      <c r="K153" s="164">
        <v>2015</v>
      </c>
      <c r="L153" s="164">
        <v>2016</v>
      </c>
      <c r="M153" s="164">
        <v>2017</v>
      </c>
      <c r="N153" s="164">
        <v>2018</v>
      </c>
      <c r="O153" s="164">
        <v>2019</v>
      </c>
      <c r="P153" s="164">
        <v>2020</v>
      </c>
      <c r="Q153" s="132">
        <v>2021</v>
      </c>
    </row>
    <row r="154" spans="2:17">
      <c r="B154" s="133" t="s">
        <v>6</v>
      </c>
      <c r="C154" s="148"/>
      <c r="D154" s="43"/>
      <c r="E154" s="165">
        <v>2010</v>
      </c>
      <c r="F154" s="165">
        <v>2011</v>
      </c>
      <c r="G154" s="165">
        <v>2012</v>
      </c>
      <c r="H154" s="165">
        <v>2013</v>
      </c>
      <c r="I154" s="165">
        <v>2014</v>
      </c>
      <c r="J154" s="165">
        <v>2015</v>
      </c>
      <c r="K154" s="165">
        <v>2016</v>
      </c>
      <c r="L154" s="165">
        <v>2017</v>
      </c>
      <c r="M154" s="165">
        <v>2018</v>
      </c>
      <c r="N154" s="165">
        <v>2019</v>
      </c>
      <c r="O154" s="165">
        <v>2020</v>
      </c>
      <c r="P154" s="165">
        <v>2021</v>
      </c>
      <c r="Q154" s="134">
        <v>2022</v>
      </c>
    </row>
    <row r="155" spans="2:17">
      <c r="B155" s="624" t="s">
        <v>477</v>
      </c>
      <c r="C155" s="625"/>
      <c r="D155" s="625"/>
      <c r="E155" s="625"/>
      <c r="F155" s="625"/>
      <c r="G155" s="625"/>
      <c r="H155" s="625"/>
      <c r="I155" s="625"/>
      <c r="J155" s="625"/>
      <c r="K155" s="625"/>
      <c r="L155" s="625"/>
      <c r="M155" s="625"/>
      <c r="N155" s="625"/>
      <c r="O155" s="625"/>
      <c r="P155" s="625"/>
      <c r="Q155" s="626"/>
    </row>
    <row r="156" spans="2:17">
      <c r="B156" s="161" t="s">
        <v>458</v>
      </c>
      <c r="C156" s="105" t="s">
        <v>123</v>
      </c>
      <c r="D156" s="43" t="s">
        <v>476</v>
      </c>
      <c r="E156" s="172"/>
      <c r="F156" s="172"/>
      <c r="G156" s="172"/>
      <c r="H156" s="172"/>
      <c r="I156" s="172"/>
      <c r="J156" s="172"/>
      <c r="K156" s="172"/>
      <c r="L156" s="172"/>
      <c r="M156" s="172"/>
      <c r="N156" s="211">
        <f>($C136*K148*'Mise sur le marché'!N38)/1000</f>
        <v>13.627288294236031</v>
      </c>
      <c r="O156" s="211">
        <f>($C136*L148*'Mise sur le marché'!O38)/1000</f>
        <v>13.588251924099216</v>
      </c>
      <c r="P156" s="458">
        <f>($C136*M148*'Mise sur le marché'!P38)/1000</f>
        <v>14.369201520885381</v>
      </c>
      <c r="Q156" s="157">
        <f>($C136*M148*'Mise sur le marché'!Q38)/1000</f>
        <v>13.644979679330506</v>
      </c>
    </row>
    <row r="157" spans="2:17">
      <c r="B157" s="161" t="s">
        <v>459</v>
      </c>
      <c r="C157" s="105" t="s">
        <v>123</v>
      </c>
      <c r="D157" s="43" t="s">
        <v>476</v>
      </c>
      <c r="E157" s="172"/>
      <c r="F157" s="172"/>
      <c r="G157" s="172"/>
      <c r="H157" s="172"/>
      <c r="I157" s="172"/>
      <c r="J157" s="172"/>
      <c r="K157" s="172"/>
      <c r="L157" s="172"/>
      <c r="M157" s="172"/>
      <c r="N157" s="211">
        <f>($C134*K146*'Mise sur le marché'!N39)/1000</f>
        <v>8.6056905298877719</v>
      </c>
      <c r="O157" s="211">
        <f>($C134*L146*'Mise sur le marché'!O39)/1000</f>
        <v>8.8022087771125133</v>
      </c>
      <c r="P157" s="458">
        <f>($C134*M146*'Mise sur le marché'!P39)/1000</f>
        <v>8.2460336361479136</v>
      </c>
      <c r="Q157" s="157">
        <f>($C134*M146*'Mise sur le marché'!Q39)/1000</f>
        <v>8.1904940025526116</v>
      </c>
    </row>
    <row r="158" spans="2:17">
      <c r="B158" s="161" t="s">
        <v>460</v>
      </c>
      <c r="C158" s="105" t="s">
        <v>123</v>
      </c>
      <c r="D158" s="43" t="s">
        <v>476</v>
      </c>
      <c r="E158" s="172"/>
      <c r="F158" s="172"/>
      <c r="G158" s="172"/>
      <c r="H158" s="172"/>
      <c r="I158" s="172"/>
      <c r="J158" s="172"/>
      <c r="K158" s="172"/>
      <c r="L158" s="172"/>
      <c r="M158" s="172"/>
      <c r="N158" s="211">
        <f>($C130*K142*('Mise sur le marché'!N42+'Mise sur le marché'!N43))/1000</f>
        <v>71.425753360655037</v>
      </c>
      <c r="O158" s="211">
        <f>($C130*L142*('Mise sur le marché'!O42+'Mise sur le marché'!O43))/1000</f>
        <v>64.485777696355385</v>
      </c>
      <c r="P158" s="458">
        <f>($C130*M142*('Mise sur le marché'!P42+'Mise sur le marché'!P43))/1000</f>
        <v>52.007533686530351</v>
      </c>
      <c r="Q158" s="157">
        <f>($C130*M142*('Mise sur le marché'!Q42+'Mise sur le marché'!Q43))/1000</f>
        <v>51.525773484547337</v>
      </c>
    </row>
    <row r="159" spans="2:17">
      <c r="B159" s="161" t="s">
        <v>461</v>
      </c>
      <c r="C159" s="105" t="s">
        <v>123</v>
      </c>
      <c r="D159" s="43" t="s">
        <v>476</v>
      </c>
      <c r="E159" s="172"/>
      <c r="F159" s="172"/>
      <c r="G159" s="172"/>
      <c r="H159" s="172"/>
      <c r="I159" s="172"/>
      <c r="J159" s="172"/>
      <c r="K159" s="172"/>
      <c r="L159" s="172"/>
      <c r="M159" s="172"/>
      <c r="N159" s="211">
        <f>($C131*K143*'Mise sur le marché'!N41)/1000</f>
        <v>0.34506082135471783</v>
      </c>
      <c r="O159" s="211">
        <f>($C131*L143*'Mise sur le marché'!O41)/1000</f>
        <v>0.34843505718457696</v>
      </c>
      <c r="P159" s="458">
        <f>($C131*M143*'Mise sur le marché'!P41)/1000</f>
        <v>0.36869105614263159</v>
      </c>
      <c r="Q159" s="157">
        <f>($C131*M143*'Mise sur le marché'!Q41)/1000</f>
        <v>0.35389282210677458</v>
      </c>
    </row>
    <row r="160" spans="2:17">
      <c r="B160" s="161" t="s">
        <v>462</v>
      </c>
      <c r="C160" s="105" t="s">
        <v>123</v>
      </c>
      <c r="D160" s="43" t="s">
        <v>476</v>
      </c>
      <c r="E160" s="172"/>
      <c r="F160" s="172"/>
      <c r="G160" s="172"/>
      <c r="H160" s="172"/>
      <c r="I160" s="172"/>
      <c r="J160" s="172"/>
      <c r="K160" s="172"/>
      <c r="L160" s="172"/>
      <c r="M160" s="172"/>
      <c r="N160" s="211">
        <f>($C132*K144*'Mise sur le marché'!N45)/1000</f>
        <v>63.318732328764213</v>
      </c>
      <c r="O160" s="211">
        <f>($C132*L144*'Mise sur le marché'!O45)/1000</f>
        <v>65.052937399577615</v>
      </c>
      <c r="P160" s="458">
        <f>($C132*M144*'Mise sur le marché'!P45)/1000</f>
        <v>57.656335011070873</v>
      </c>
      <c r="Q160" s="157">
        <f>($C132*M144*'Mise sur le marché'!Q45)/1000</f>
        <v>56.714611125182742</v>
      </c>
    </row>
    <row r="161" spans="2:17">
      <c r="B161" s="161" t="s">
        <v>463</v>
      </c>
      <c r="C161" s="105" t="s">
        <v>123</v>
      </c>
      <c r="D161" s="43" t="s">
        <v>476</v>
      </c>
      <c r="E161" s="172"/>
      <c r="F161" s="172"/>
      <c r="G161" s="208"/>
      <c r="H161" s="208"/>
      <c r="I161" s="208"/>
      <c r="J161" s="208"/>
      <c r="K161" s="208"/>
      <c r="L161" s="208"/>
      <c r="M161" s="208"/>
      <c r="N161" s="211">
        <f>($C133*K145*'Mise sur le marché'!N48)/1000</f>
        <v>9.2832852183533507</v>
      </c>
      <c r="O161" s="211">
        <f>($C133*L145*'Mise sur le marché'!O48)/1000</f>
        <v>23.435959192663351</v>
      </c>
      <c r="P161" s="458">
        <f>($C133*M145*'Mise sur le marché'!P48)/1000</f>
        <v>22.183706841537532</v>
      </c>
      <c r="Q161" s="157">
        <f>($C133*M145*'Mise sur le marché'!Q48)/1000</f>
        <v>22.47179596308786</v>
      </c>
    </row>
    <row r="162" spans="2:17">
      <c r="B162" s="161" t="s">
        <v>464</v>
      </c>
      <c r="C162" s="105" t="s">
        <v>123</v>
      </c>
      <c r="D162" s="43" t="s">
        <v>476</v>
      </c>
      <c r="E162" s="172"/>
      <c r="F162" s="172"/>
      <c r="G162" s="208"/>
      <c r="H162" s="208"/>
      <c r="I162" s="208"/>
      <c r="J162" s="208"/>
      <c r="K162" s="208"/>
      <c r="L162" s="208"/>
      <c r="M162" s="212"/>
      <c r="N162" s="211">
        <f>($C137*K149*'Mise sur le marché'!N38)/1000</f>
        <v>7.0598702680201448</v>
      </c>
      <c r="O162" s="211">
        <f>($C137*L149*'Mise sur le marché'!O38)/1000</f>
        <v>6.4821228615541084</v>
      </c>
      <c r="P162" s="458">
        <f>($C137*M149*'Mise sur le marché'!P38)/1000</f>
        <v>6.1289181503512689</v>
      </c>
      <c r="Q162" s="157">
        <f>($C137*M149*'Mise sur le marché'!Q38)/1000</f>
        <v>5.8200146679180289</v>
      </c>
    </row>
    <row r="163" spans="2:17">
      <c r="B163" s="161" t="s">
        <v>465</v>
      </c>
      <c r="C163" s="105" t="s">
        <v>123</v>
      </c>
      <c r="D163" s="43" t="s">
        <v>476</v>
      </c>
      <c r="E163" s="172"/>
      <c r="F163" s="172"/>
      <c r="G163" s="208"/>
      <c r="H163" s="208"/>
      <c r="I163" s="208"/>
      <c r="J163" s="208"/>
      <c r="K163" s="208"/>
      <c r="L163" s="208"/>
      <c r="M163" s="212"/>
      <c r="N163" s="211">
        <f>($C135*K147*'Mise sur le marché'!N39)/1000</f>
        <v>12.727513959031656</v>
      </c>
      <c r="O163" s="211">
        <f>($C135*L147*'Mise sur le marché'!O39)/1000</f>
        <v>12.535276311713291</v>
      </c>
      <c r="P163" s="458">
        <f>($C135*M147*'Mise sur le marché'!P39)/1000</f>
        <v>10.568015730098866</v>
      </c>
      <c r="Q163" s="157">
        <f>($C135*M147*'Mise sur le marché'!Q39)/1000</f>
        <v>10.496836815801682</v>
      </c>
    </row>
    <row r="164" spans="2:17">
      <c r="B164" s="161" t="s">
        <v>18</v>
      </c>
      <c r="C164" s="105" t="s">
        <v>123</v>
      </c>
      <c r="D164" s="43" t="s">
        <v>476</v>
      </c>
      <c r="E164" s="172"/>
      <c r="F164" s="172"/>
      <c r="G164" s="208"/>
      <c r="H164" s="208"/>
      <c r="I164" s="208"/>
      <c r="J164" s="208"/>
      <c r="K164" s="208"/>
      <c r="L164" s="208"/>
      <c r="M164" s="212"/>
      <c r="N164" s="211">
        <f>($C138*K150*'Mise sur le marché'!N54)/1000</f>
        <v>53.315587942911336</v>
      </c>
      <c r="O164" s="211">
        <f>($C138*L150*'Mise sur le marché'!O54)/1000</f>
        <v>54.847355023188939</v>
      </c>
      <c r="P164" s="458">
        <f>($C138*M150*'Mise sur le marché'!P54)/1000</f>
        <v>51.839697218178451</v>
      </c>
      <c r="Q164" s="157">
        <f>($C138*M150*'Mise sur le marché'!Q54)/1000</f>
        <v>52.269533420500288</v>
      </c>
    </row>
    <row r="165" spans="2:17">
      <c r="B165" s="161" t="s">
        <v>466</v>
      </c>
      <c r="C165" s="105" t="s">
        <v>123</v>
      </c>
      <c r="D165" s="43" t="s">
        <v>476</v>
      </c>
      <c r="E165" s="172"/>
      <c r="F165" s="172"/>
      <c r="G165" s="208"/>
      <c r="H165" s="208"/>
      <c r="I165" s="208"/>
      <c r="J165" s="208"/>
      <c r="K165" s="208"/>
      <c r="L165" s="208"/>
      <c r="M165" s="212"/>
      <c r="N165" s="211">
        <f>SUM(N156:N164)</f>
        <v>239.70878272321426</v>
      </c>
      <c r="O165" s="211">
        <f>SUM(O156:O164)</f>
        <v>249.57832424344895</v>
      </c>
      <c r="P165" s="458">
        <f>SUM(P156:P164)</f>
        <v>223.36813285094328</v>
      </c>
      <c r="Q165" s="157">
        <f>SUM(Q156:Q164)</f>
        <v>221.48793198102783</v>
      </c>
    </row>
    <row r="166" spans="2:17">
      <c r="C166" s="184"/>
      <c r="D166" s="184"/>
      <c r="E166" s="184"/>
      <c r="F166" s="184"/>
    </row>
  </sheetData>
  <sheetProtection algorithmName="SHA-512" hashValue="KpCD6sWOBOTSY63qSci9zoMtD6+TZy47cRtCxvHNIGLP4oLLBS76Y9oQos9NRi9qd32HTfkBWZBHBmCsmdKZng==" saltValue="jM0pZkhervukD/i75ti2RQ==" spinCount="100000" sheet="1" scenarios="1"/>
  <mergeCells count="11">
    <mergeCell ref="B155:Q155"/>
    <mergeCell ref="B20:Q20"/>
    <mergeCell ref="B6:Q6"/>
    <mergeCell ref="B38:O38"/>
    <mergeCell ref="B92:H92"/>
    <mergeCell ref="B128:Q128"/>
    <mergeCell ref="B106:Q106"/>
    <mergeCell ref="B81:Q81"/>
    <mergeCell ref="B73:Q73"/>
    <mergeCell ref="B112:Q112"/>
    <mergeCell ref="J129:Q129"/>
  </mergeCells>
  <conditionalFormatting sqref="C74:C76 C82:C89 C94:C101 C21:C37 C39:C46 C57:C68 C52:C54 C7 C10:C15 C48:C50">
    <cfRule type="cellIs" dxfId="134" priority="24" operator="equal">
      <formula>"EO"</formula>
    </cfRule>
  </conditionalFormatting>
  <conditionalFormatting sqref="C74:C76 C82:C89 C94:C101 C21:C37 C39:C46 C57:C68 C52:C54 C7 C10:C15 C48:C50">
    <cfRule type="cellIs" dxfId="133" priority="23" operator="equal">
      <formula>"Calcul"</formula>
    </cfRule>
  </conditionalFormatting>
  <conditionalFormatting sqref="C74:C76 C82:C89 C94:C101 C21:C37 C39:C46 C57:C68 C52:C54 C7 C10:C15 C48:C50">
    <cfRule type="cellIs" dxfId="132" priority="22" operator="equal">
      <formula>"SYDEREP"</formula>
    </cfRule>
  </conditionalFormatting>
  <conditionalFormatting sqref="C107:C111 C113:C127">
    <cfRule type="cellIs" dxfId="131" priority="21" operator="equal">
      <formula>"EO"</formula>
    </cfRule>
  </conditionalFormatting>
  <conditionalFormatting sqref="C107:C111 C113:C127">
    <cfRule type="cellIs" dxfId="130" priority="20" operator="equal">
      <formula>"Calcul"</formula>
    </cfRule>
  </conditionalFormatting>
  <conditionalFormatting sqref="C107:C111 C113:C127">
    <cfRule type="cellIs" dxfId="129" priority="19" operator="equal">
      <formula>"SYDEREP"</formula>
    </cfRule>
  </conditionalFormatting>
  <conditionalFormatting sqref="C47">
    <cfRule type="cellIs" dxfId="128" priority="18" operator="equal">
      <formula>"EO"</formula>
    </cfRule>
  </conditionalFormatting>
  <conditionalFormatting sqref="C47">
    <cfRule type="cellIs" dxfId="127" priority="17" operator="equal">
      <formula>"Calcul"</formula>
    </cfRule>
  </conditionalFormatting>
  <conditionalFormatting sqref="C47">
    <cfRule type="cellIs" dxfId="126" priority="16" operator="equal">
      <formula>"SYDEREP"</formula>
    </cfRule>
  </conditionalFormatting>
  <conditionalFormatting sqref="C51">
    <cfRule type="cellIs" dxfId="125" priority="15" operator="equal">
      <formula>"EO"</formula>
    </cfRule>
  </conditionalFormatting>
  <conditionalFormatting sqref="C51">
    <cfRule type="cellIs" dxfId="124" priority="14" operator="equal">
      <formula>"Calcul"</formula>
    </cfRule>
  </conditionalFormatting>
  <conditionalFormatting sqref="C51">
    <cfRule type="cellIs" dxfId="123" priority="13" operator="equal">
      <formula>"SYDEREP"</formula>
    </cfRule>
  </conditionalFormatting>
  <conditionalFormatting sqref="C55:C56">
    <cfRule type="cellIs" dxfId="122" priority="12" operator="equal">
      <formula>"EO"</formula>
    </cfRule>
  </conditionalFormatting>
  <conditionalFormatting sqref="C55:C56">
    <cfRule type="cellIs" dxfId="121" priority="11" operator="equal">
      <formula>"Calcul"</formula>
    </cfRule>
  </conditionalFormatting>
  <conditionalFormatting sqref="C55:C56">
    <cfRule type="cellIs" dxfId="120" priority="10" operator="equal">
      <formula>"SYDEREP"</formula>
    </cfRule>
  </conditionalFormatting>
  <conditionalFormatting sqref="C156:C163">
    <cfRule type="cellIs" dxfId="119" priority="9" operator="equal">
      <formula>"EO"</formula>
    </cfRule>
  </conditionalFormatting>
  <conditionalFormatting sqref="C156:C163">
    <cfRule type="cellIs" dxfId="118" priority="8" operator="equal">
      <formula>"Calcul"</formula>
    </cfRule>
  </conditionalFormatting>
  <conditionalFormatting sqref="C156:C163">
    <cfRule type="cellIs" dxfId="117" priority="7" operator="equal">
      <formula>"SYDEREP"</formula>
    </cfRule>
  </conditionalFormatting>
  <conditionalFormatting sqref="C164:C165">
    <cfRule type="cellIs" dxfId="116" priority="6" operator="equal">
      <formula>"EO"</formula>
    </cfRule>
  </conditionalFormatting>
  <conditionalFormatting sqref="C164:C165">
    <cfRule type="cellIs" dxfId="115" priority="5" operator="equal">
      <formula>"Calcul"</formula>
    </cfRule>
  </conditionalFormatting>
  <conditionalFormatting sqref="C164:C165">
    <cfRule type="cellIs" dxfId="114" priority="4" operator="equal">
      <formula>"SYDEREP"</formula>
    </cfRule>
  </conditionalFormatting>
  <conditionalFormatting sqref="C8:C9">
    <cfRule type="cellIs" dxfId="113" priority="3" operator="equal">
      <formula>"EO"</formula>
    </cfRule>
  </conditionalFormatting>
  <conditionalFormatting sqref="C8:C9">
    <cfRule type="cellIs" dxfId="112" priority="2" operator="equal">
      <formula>"Calcul"</formula>
    </cfRule>
  </conditionalFormatting>
  <conditionalFormatting sqref="C8:C9">
    <cfRule type="cellIs" dxfId="111" priority="1" operator="equal">
      <formula>"SYDEREP"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O165"/>
  <sheetViews>
    <sheetView zoomScale="80" zoomScaleNormal="80" zoomScaleSheetLayoutView="80" workbookViewId="0">
      <pane xSplit="2" topLeftCell="C1" activePane="topRight" state="frozen"/>
      <selection activeCell="I106" sqref="I106"/>
      <selection pane="topRight"/>
    </sheetView>
  </sheetViews>
  <sheetFormatPr baseColWidth="10" defaultColWidth="11.453125" defaultRowHeight="14.5"/>
  <cols>
    <col min="1" max="1" width="7.453125" style="2" customWidth="1"/>
    <col min="2" max="2" width="111" style="36" customWidth="1"/>
    <col min="3" max="3" width="14.453125" style="36" customWidth="1"/>
    <col min="4" max="4" width="9.54296875" style="130" customWidth="1"/>
    <col min="5" max="5" width="16.26953125" style="130" customWidth="1"/>
    <col min="6" max="6" width="14.54296875" style="36" customWidth="1"/>
    <col min="7" max="7" width="14.453125" style="36" bestFit="1" customWidth="1"/>
    <col min="8" max="8" width="11.54296875" style="36" bestFit="1" customWidth="1"/>
    <col min="9" max="9" width="11.453125" style="36"/>
    <col min="10" max="10" width="11.453125" style="36" customWidth="1"/>
    <col min="11" max="16384" width="11.453125" style="2"/>
  </cols>
  <sheetData>
    <row r="2" spans="2:6" ht="23">
      <c r="B2" s="37" t="s">
        <v>487</v>
      </c>
      <c r="C2" s="37"/>
    </row>
    <row r="3" spans="2:6" ht="15" thickBot="1"/>
    <row r="4" spans="2:6" ht="18">
      <c r="B4" s="131" t="s">
        <v>7</v>
      </c>
      <c r="C4" s="39" t="s">
        <v>140</v>
      </c>
      <c r="D4" s="39" t="s">
        <v>0</v>
      </c>
      <c r="E4" s="421">
        <v>2020</v>
      </c>
      <c r="F4" s="132">
        <v>2021</v>
      </c>
    </row>
    <row r="5" spans="2:6" ht="20.149999999999999" customHeight="1">
      <c r="B5" s="133" t="s">
        <v>6</v>
      </c>
      <c r="C5" s="85"/>
      <c r="D5" s="85"/>
      <c r="E5" s="422">
        <v>2021</v>
      </c>
      <c r="F5" s="134">
        <v>2022</v>
      </c>
    </row>
    <row r="6" spans="2:6" ht="24.65" customHeight="1">
      <c r="B6" s="627" t="s">
        <v>122</v>
      </c>
      <c r="C6" s="640"/>
      <c r="D6" s="640"/>
      <c r="E6" s="628"/>
      <c r="F6" s="641"/>
    </row>
    <row r="7" spans="2:6">
      <c r="B7" s="135" t="s">
        <v>340</v>
      </c>
      <c r="C7" s="572" t="s">
        <v>289</v>
      </c>
      <c r="D7" s="85" t="s">
        <v>9</v>
      </c>
      <c r="E7" s="423">
        <v>0.62406200000000001</v>
      </c>
      <c r="F7" s="505">
        <v>2.52919377</v>
      </c>
    </row>
    <row r="8" spans="2:6">
      <c r="B8" s="135" t="s">
        <v>478</v>
      </c>
      <c r="C8" s="572" t="s">
        <v>289</v>
      </c>
      <c r="D8" s="573" t="s">
        <v>9</v>
      </c>
      <c r="E8" s="423">
        <v>4.9185279999999998E-2</v>
      </c>
      <c r="F8" s="578"/>
    </row>
    <row r="9" spans="2:6">
      <c r="B9" s="135" t="s">
        <v>479</v>
      </c>
      <c r="C9" s="572" t="s">
        <v>123</v>
      </c>
      <c r="D9" s="573" t="s">
        <v>9</v>
      </c>
      <c r="E9" s="577">
        <f>E7+E8</f>
        <v>0.67324728</v>
      </c>
      <c r="F9" s="136">
        <f>F7+F8</f>
        <v>2.52919377</v>
      </c>
    </row>
    <row r="10" spans="2:6">
      <c r="B10" s="135" t="s">
        <v>306</v>
      </c>
      <c r="C10" s="86" t="s">
        <v>289</v>
      </c>
      <c r="D10" s="85" t="s">
        <v>9</v>
      </c>
      <c r="E10" s="423">
        <v>0</v>
      </c>
      <c r="F10" s="505">
        <v>4.9185279999999998E-2</v>
      </c>
    </row>
    <row r="11" spans="2:6">
      <c r="B11" s="135" t="s">
        <v>314</v>
      </c>
      <c r="C11" s="86" t="s">
        <v>289</v>
      </c>
      <c r="D11" s="85" t="s">
        <v>9</v>
      </c>
      <c r="E11" s="423">
        <v>0</v>
      </c>
      <c r="F11" s="505">
        <v>0</v>
      </c>
    </row>
    <row r="12" spans="2:6">
      <c r="B12" s="135" t="s">
        <v>285</v>
      </c>
      <c r="C12" s="86" t="s">
        <v>123</v>
      </c>
      <c r="D12" s="85" t="s">
        <v>9</v>
      </c>
      <c r="E12" s="433">
        <f>E7+E10+E11</f>
        <v>0.62406200000000001</v>
      </c>
      <c r="F12" s="136">
        <f>F7+F10+F11</f>
        <v>2.5783790500000001</v>
      </c>
    </row>
    <row r="13" spans="2:6">
      <c r="B13" s="135" t="s">
        <v>76</v>
      </c>
      <c r="C13" s="86" t="s">
        <v>289</v>
      </c>
      <c r="D13" s="85" t="s">
        <v>9</v>
      </c>
      <c r="E13" s="423">
        <v>0.6</v>
      </c>
      <c r="F13" s="505">
        <v>0.1</v>
      </c>
    </row>
    <row r="14" spans="2:6">
      <c r="B14" s="135" t="s">
        <v>95</v>
      </c>
      <c r="C14" s="86" t="s">
        <v>289</v>
      </c>
      <c r="D14" s="85" t="s">
        <v>9</v>
      </c>
      <c r="E14" s="423">
        <v>0.6</v>
      </c>
      <c r="F14" s="505">
        <v>0.7</v>
      </c>
    </row>
    <row r="15" spans="2:6" ht="15" thickBot="1">
      <c r="B15" s="137" t="s">
        <v>53</v>
      </c>
      <c r="C15" s="76" t="s">
        <v>289</v>
      </c>
      <c r="D15" s="77" t="s">
        <v>9</v>
      </c>
      <c r="E15" s="570">
        <v>0.4</v>
      </c>
      <c r="F15" s="571">
        <v>0.7</v>
      </c>
    </row>
    <row r="17" spans="1:10" ht="15" thickBot="1">
      <c r="F17" s="138"/>
    </row>
    <row r="18" spans="1:10" ht="18">
      <c r="B18" s="131" t="s">
        <v>7</v>
      </c>
      <c r="C18" s="139"/>
      <c r="D18" s="39" t="s">
        <v>0</v>
      </c>
      <c r="E18" s="421">
        <v>2020</v>
      </c>
      <c r="F18" s="132">
        <v>2021</v>
      </c>
    </row>
    <row r="19" spans="1:10" ht="20.149999999999999" customHeight="1">
      <c r="B19" s="133" t="s">
        <v>6</v>
      </c>
      <c r="C19" s="140"/>
      <c r="D19" s="85"/>
      <c r="E19" s="422">
        <v>2021</v>
      </c>
      <c r="F19" s="134">
        <v>2022</v>
      </c>
    </row>
    <row r="20" spans="1:10" ht="26.15" customHeight="1">
      <c r="B20" s="624" t="s">
        <v>195</v>
      </c>
      <c r="C20" s="637"/>
      <c r="D20" s="637"/>
      <c r="E20" s="625"/>
      <c r="F20" s="638"/>
    </row>
    <row r="21" spans="1:10">
      <c r="A21" s="24" t="s">
        <v>240</v>
      </c>
      <c r="B21" s="135" t="s">
        <v>194</v>
      </c>
      <c r="C21" s="47" t="s">
        <v>141</v>
      </c>
      <c r="D21" s="43" t="s">
        <v>9</v>
      </c>
      <c r="E21" s="424">
        <v>0</v>
      </c>
      <c r="F21" s="174">
        <v>0</v>
      </c>
    </row>
    <row r="22" spans="1:10">
      <c r="A22" s="24"/>
      <c r="B22" s="135" t="s">
        <v>78</v>
      </c>
      <c r="C22" s="47" t="s">
        <v>141</v>
      </c>
      <c r="D22" s="43" t="s">
        <v>9</v>
      </c>
      <c r="E22" s="424">
        <v>0</v>
      </c>
      <c r="F22" s="174">
        <v>0</v>
      </c>
    </row>
    <row r="23" spans="1:10">
      <c r="A23" s="24"/>
      <c r="B23" s="135" t="s">
        <v>79</v>
      </c>
      <c r="C23" s="53" t="s">
        <v>289</v>
      </c>
      <c r="D23" s="43" t="s">
        <v>9</v>
      </c>
      <c r="E23" s="425"/>
      <c r="F23" s="177"/>
    </row>
    <row r="24" spans="1:10">
      <c r="A24" s="24"/>
      <c r="B24" s="135" t="s">
        <v>166</v>
      </c>
      <c r="C24" s="47" t="s">
        <v>141</v>
      </c>
      <c r="D24" s="43" t="s">
        <v>9</v>
      </c>
      <c r="E24" s="424">
        <v>0</v>
      </c>
      <c r="F24" s="174">
        <v>0</v>
      </c>
    </row>
    <row r="25" spans="1:10">
      <c r="A25" s="24"/>
      <c r="B25" s="135" t="s">
        <v>80</v>
      </c>
      <c r="C25" s="53" t="s">
        <v>289</v>
      </c>
      <c r="D25" s="43" t="s">
        <v>9</v>
      </c>
      <c r="E25" s="425"/>
      <c r="F25" s="177"/>
    </row>
    <row r="26" spans="1:10">
      <c r="A26" s="24"/>
      <c r="B26" s="135" t="s">
        <v>77</v>
      </c>
      <c r="C26" s="53" t="s">
        <v>289</v>
      </c>
      <c r="D26" s="43" t="s">
        <v>9</v>
      </c>
      <c r="E26" s="425"/>
      <c r="F26" s="177"/>
    </row>
    <row r="27" spans="1:10">
      <c r="A27" s="24" t="s">
        <v>241</v>
      </c>
      <c r="B27" s="135" t="s">
        <v>143</v>
      </c>
      <c r="C27" s="53" t="s">
        <v>289</v>
      </c>
      <c r="D27" s="43" t="s">
        <v>9</v>
      </c>
      <c r="E27" s="425"/>
      <c r="F27" s="177"/>
    </row>
    <row r="28" spans="1:10" s="13" customFormat="1">
      <c r="A28" s="24" t="s">
        <v>242</v>
      </c>
      <c r="B28" s="135" t="s">
        <v>161</v>
      </c>
      <c r="C28" s="53" t="s">
        <v>289</v>
      </c>
      <c r="D28" s="43" t="s">
        <v>9</v>
      </c>
      <c r="E28" s="425"/>
      <c r="F28" s="177"/>
      <c r="G28" s="142"/>
      <c r="H28" s="142"/>
      <c r="I28" s="142"/>
      <c r="J28" s="142"/>
    </row>
    <row r="29" spans="1:10" ht="29">
      <c r="A29" s="24" t="s">
        <v>243</v>
      </c>
      <c r="B29" s="135" t="s">
        <v>162</v>
      </c>
      <c r="C29" s="47" t="s">
        <v>141</v>
      </c>
      <c r="D29" s="43" t="s">
        <v>9</v>
      </c>
      <c r="E29" s="424">
        <v>0</v>
      </c>
      <c r="F29" s="174">
        <v>0</v>
      </c>
    </row>
    <row r="30" spans="1:10">
      <c r="A30" s="24" t="s">
        <v>244</v>
      </c>
      <c r="B30" s="135" t="s">
        <v>193</v>
      </c>
      <c r="C30" s="47" t="s">
        <v>141</v>
      </c>
      <c r="D30" s="43" t="s">
        <v>9</v>
      </c>
      <c r="E30" s="424">
        <v>0</v>
      </c>
      <c r="F30" s="174">
        <v>0</v>
      </c>
    </row>
    <row r="31" spans="1:10" ht="29">
      <c r="A31" s="24" t="s">
        <v>245</v>
      </c>
      <c r="B31" s="135" t="s">
        <v>163</v>
      </c>
      <c r="C31" s="47" t="s">
        <v>141</v>
      </c>
      <c r="D31" s="43" t="s">
        <v>9</v>
      </c>
      <c r="E31" s="424">
        <v>0</v>
      </c>
      <c r="F31" s="174">
        <v>0</v>
      </c>
    </row>
    <row r="32" spans="1:10">
      <c r="A32" s="24" t="s">
        <v>246</v>
      </c>
      <c r="B32" s="135" t="s">
        <v>164</v>
      </c>
      <c r="C32" s="47" t="s">
        <v>141</v>
      </c>
      <c r="D32" s="43" t="s">
        <v>9</v>
      </c>
      <c r="E32" s="424">
        <v>0</v>
      </c>
      <c r="F32" s="174">
        <v>0</v>
      </c>
    </row>
    <row r="33" spans="1:6">
      <c r="A33" s="24" t="s">
        <v>247</v>
      </c>
      <c r="B33" s="135" t="s">
        <v>165</v>
      </c>
      <c r="C33" s="47" t="s">
        <v>141</v>
      </c>
      <c r="D33" s="43" t="s">
        <v>9</v>
      </c>
      <c r="E33" s="424">
        <v>0</v>
      </c>
      <c r="F33" s="174">
        <v>0</v>
      </c>
    </row>
    <row r="34" spans="1:6">
      <c r="A34" s="24" t="s">
        <v>248</v>
      </c>
      <c r="B34" s="135" t="s">
        <v>81</v>
      </c>
      <c r="C34" s="47" t="s">
        <v>141</v>
      </c>
      <c r="D34" s="43" t="s">
        <v>9</v>
      </c>
      <c r="E34" s="424">
        <v>0</v>
      </c>
      <c r="F34" s="174">
        <v>0</v>
      </c>
    </row>
    <row r="35" spans="1:6">
      <c r="A35" s="24" t="s">
        <v>249</v>
      </c>
      <c r="B35" s="135" t="s">
        <v>355</v>
      </c>
      <c r="C35" s="47" t="s">
        <v>141</v>
      </c>
      <c r="D35" s="43" t="s">
        <v>9</v>
      </c>
      <c r="E35" s="424">
        <v>0</v>
      </c>
      <c r="F35" s="141">
        <v>0</v>
      </c>
    </row>
    <row r="36" spans="1:6">
      <c r="A36" s="24"/>
      <c r="B36" s="135" t="s">
        <v>307</v>
      </c>
      <c r="C36" s="53" t="s">
        <v>289</v>
      </c>
      <c r="D36" s="43" t="s">
        <v>9</v>
      </c>
      <c r="E36" s="424">
        <v>0</v>
      </c>
      <c r="F36" s="141">
        <v>0</v>
      </c>
    </row>
    <row r="37" spans="1:6">
      <c r="B37" s="135" t="s">
        <v>360</v>
      </c>
      <c r="C37" s="105" t="s">
        <v>123</v>
      </c>
      <c r="D37" s="43" t="s">
        <v>9</v>
      </c>
      <c r="E37" s="426">
        <f>SUM(E21:E35)</f>
        <v>0</v>
      </c>
      <c r="F37" s="143">
        <f>SUM(F21:F35)</f>
        <v>0</v>
      </c>
    </row>
    <row r="38" spans="1:6" ht="24" customHeight="1">
      <c r="B38" s="630" t="s">
        <v>54</v>
      </c>
      <c r="C38" s="642"/>
      <c r="D38" s="642"/>
      <c r="E38" s="393"/>
      <c r="F38" s="144"/>
    </row>
    <row r="39" spans="1:6">
      <c r="B39" s="135" t="s">
        <v>55</v>
      </c>
      <c r="C39" s="47" t="s">
        <v>141</v>
      </c>
      <c r="D39" s="43" t="s">
        <v>9</v>
      </c>
      <c r="E39" s="425"/>
      <c r="F39" s="154"/>
    </row>
    <row r="40" spans="1:6">
      <c r="B40" s="135" t="s">
        <v>117</v>
      </c>
      <c r="C40" s="47" t="s">
        <v>141</v>
      </c>
      <c r="D40" s="43" t="s">
        <v>9</v>
      </c>
      <c r="E40" s="424">
        <v>0</v>
      </c>
      <c r="F40" s="174">
        <v>0</v>
      </c>
    </row>
    <row r="41" spans="1:6">
      <c r="B41" s="135" t="s">
        <v>308</v>
      </c>
      <c r="C41" s="47" t="s">
        <v>141</v>
      </c>
      <c r="D41" s="43" t="s">
        <v>9</v>
      </c>
      <c r="E41" s="427">
        <v>0</v>
      </c>
      <c r="F41" s="174">
        <v>0</v>
      </c>
    </row>
    <row r="42" spans="1:6">
      <c r="B42" s="135" t="s">
        <v>356</v>
      </c>
      <c r="C42" s="47" t="s">
        <v>141</v>
      </c>
      <c r="D42" s="43" t="s">
        <v>9</v>
      </c>
      <c r="E42" s="427">
        <v>0</v>
      </c>
      <c r="F42" s="174">
        <v>0</v>
      </c>
    </row>
    <row r="43" spans="1:6">
      <c r="B43" s="135" t="s">
        <v>250</v>
      </c>
      <c r="C43" s="53" t="s">
        <v>289</v>
      </c>
      <c r="D43" s="43" t="s">
        <v>9</v>
      </c>
      <c r="E43" s="427">
        <v>0</v>
      </c>
      <c r="F43" s="174">
        <v>0</v>
      </c>
    </row>
    <row r="44" spans="1:6">
      <c r="B44" s="135" t="s">
        <v>201</v>
      </c>
      <c r="C44" s="53" t="s">
        <v>289</v>
      </c>
      <c r="D44" s="43" t="s">
        <v>9</v>
      </c>
      <c r="E44" s="425"/>
      <c r="F44" s="177"/>
    </row>
    <row r="45" spans="1:6">
      <c r="B45" s="135" t="s">
        <v>305</v>
      </c>
      <c r="C45" s="47" t="s">
        <v>141</v>
      </c>
      <c r="D45" s="43" t="s">
        <v>9</v>
      </c>
      <c r="E45" s="424">
        <v>0</v>
      </c>
      <c r="F45" s="174">
        <v>0</v>
      </c>
    </row>
    <row r="46" spans="1:6">
      <c r="B46" s="135" t="s">
        <v>442</v>
      </c>
      <c r="C46" s="47" t="s">
        <v>141</v>
      </c>
      <c r="D46" s="43" t="s">
        <v>9</v>
      </c>
      <c r="E46" s="424">
        <v>0</v>
      </c>
      <c r="F46" s="174">
        <v>0</v>
      </c>
    </row>
    <row r="47" spans="1:6">
      <c r="B47" s="135" t="s">
        <v>441</v>
      </c>
      <c r="C47" s="47" t="s">
        <v>141</v>
      </c>
      <c r="D47" s="43" t="s">
        <v>9</v>
      </c>
      <c r="E47" s="424">
        <v>0</v>
      </c>
      <c r="F47" s="174">
        <v>0</v>
      </c>
    </row>
    <row r="48" spans="1:6">
      <c r="B48" s="135" t="s">
        <v>196</v>
      </c>
      <c r="C48" s="47" t="s">
        <v>141</v>
      </c>
      <c r="D48" s="43" t="s">
        <v>9</v>
      </c>
      <c r="E48" s="424">
        <v>0</v>
      </c>
      <c r="F48" s="174">
        <v>0</v>
      </c>
    </row>
    <row r="49" spans="2:8">
      <c r="B49" s="135" t="s">
        <v>312</v>
      </c>
      <c r="C49" s="53" t="s">
        <v>289</v>
      </c>
      <c r="D49" s="43" t="s">
        <v>9</v>
      </c>
      <c r="E49" s="424">
        <v>0</v>
      </c>
      <c r="F49" s="174">
        <v>0</v>
      </c>
    </row>
    <row r="50" spans="2:8">
      <c r="B50" s="135" t="s">
        <v>443</v>
      </c>
      <c r="C50" s="47" t="s">
        <v>141</v>
      </c>
      <c r="D50" s="43" t="s">
        <v>9</v>
      </c>
      <c r="E50" s="424">
        <v>0</v>
      </c>
      <c r="F50" s="174">
        <v>0</v>
      </c>
    </row>
    <row r="51" spans="2:8">
      <c r="B51" s="135" t="s">
        <v>444</v>
      </c>
      <c r="C51" s="47" t="s">
        <v>141</v>
      </c>
      <c r="D51" s="43" t="s">
        <v>9</v>
      </c>
      <c r="E51" s="424">
        <v>0</v>
      </c>
      <c r="F51" s="174">
        <v>0</v>
      </c>
    </row>
    <row r="52" spans="2:8">
      <c r="B52" s="135" t="s">
        <v>197</v>
      </c>
      <c r="C52" s="47" t="s">
        <v>123</v>
      </c>
      <c r="D52" s="43" t="s">
        <v>9</v>
      </c>
      <c r="E52" s="426">
        <f>E46+E48+E50+E29+E49</f>
        <v>0</v>
      </c>
      <c r="F52" s="143">
        <f>F46+F48+F50+F29+F49</f>
        <v>0</v>
      </c>
    </row>
    <row r="53" spans="2:8">
      <c r="B53" s="135" t="s">
        <v>471</v>
      </c>
      <c r="C53" s="47" t="s">
        <v>141</v>
      </c>
      <c r="D53" s="43" t="s">
        <v>9</v>
      </c>
      <c r="E53" s="424">
        <v>0</v>
      </c>
      <c r="F53" s="174">
        <v>0</v>
      </c>
    </row>
    <row r="54" spans="2:8">
      <c r="B54" s="135" t="s">
        <v>472</v>
      </c>
      <c r="C54" s="47" t="s">
        <v>141</v>
      </c>
      <c r="D54" s="43" t="s">
        <v>9</v>
      </c>
      <c r="E54" s="424">
        <v>0</v>
      </c>
      <c r="F54" s="174">
        <v>0</v>
      </c>
    </row>
    <row r="55" spans="2:8">
      <c r="B55" s="135" t="s">
        <v>473</v>
      </c>
      <c r="C55" s="47" t="s">
        <v>141</v>
      </c>
      <c r="D55" s="43" t="s">
        <v>9</v>
      </c>
      <c r="E55" s="424">
        <v>0</v>
      </c>
      <c r="F55" s="174">
        <v>0</v>
      </c>
    </row>
    <row r="56" spans="2:8">
      <c r="B56" s="135" t="s">
        <v>474</v>
      </c>
      <c r="C56" s="47" t="s">
        <v>141</v>
      </c>
      <c r="D56" s="43" t="s">
        <v>9</v>
      </c>
      <c r="E56" s="424">
        <v>0</v>
      </c>
      <c r="F56" s="174">
        <v>0</v>
      </c>
    </row>
    <row r="57" spans="2:8">
      <c r="B57" s="135" t="s">
        <v>316</v>
      </c>
      <c r="C57" s="47" t="s">
        <v>141</v>
      </c>
      <c r="D57" s="43" t="s">
        <v>9</v>
      </c>
      <c r="E57" s="424">
        <v>0</v>
      </c>
      <c r="F57" s="174">
        <v>0</v>
      </c>
    </row>
    <row r="58" spans="2:8">
      <c r="B58" s="135" t="s">
        <v>359</v>
      </c>
      <c r="C58" s="53" t="s">
        <v>289</v>
      </c>
      <c r="D58" s="43" t="s">
        <v>9</v>
      </c>
      <c r="E58" s="424">
        <v>0</v>
      </c>
      <c r="F58" s="174">
        <v>0</v>
      </c>
    </row>
    <row r="59" spans="2:8">
      <c r="B59" s="135" t="s">
        <v>202</v>
      </c>
      <c r="C59" s="53" t="s">
        <v>289</v>
      </c>
      <c r="D59" s="43" t="s">
        <v>9</v>
      </c>
      <c r="E59" s="425"/>
      <c r="F59" s="177"/>
    </row>
    <row r="60" spans="2:8">
      <c r="B60" s="135" t="s">
        <v>56</v>
      </c>
      <c r="C60" s="53" t="s">
        <v>289</v>
      </c>
      <c r="D60" s="43" t="s">
        <v>9</v>
      </c>
      <c r="E60" s="424">
        <v>0</v>
      </c>
      <c r="F60" s="174">
        <v>0</v>
      </c>
      <c r="G60" s="145"/>
      <c r="H60" s="145"/>
    </row>
    <row r="61" spans="2:8">
      <c r="B61" s="135" t="s">
        <v>200</v>
      </c>
      <c r="C61" s="53" t="s">
        <v>289</v>
      </c>
      <c r="D61" s="43" t="s">
        <v>9</v>
      </c>
      <c r="E61" s="425"/>
      <c r="F61" s="177"/>
    </row>
    <row r="62" spans="2:8" ht="17.5">
      <c r="B62" s="146" t="s">
        <v>252</v>
      </c>
      <c r="C62" s="53" t="s">
        <v>289</v>
      </c>
      <c r="D62" s="43" t="s">
        <v>9</v>
      </c>
      <c r="E62" s="425"/>
      <c r="F62" s="177"/>
    </row>
    <row r="63" spans="2:8" ht="17.5">
      <c r="B63" s="146" t="s">
        <v>309</v>
      </c>
      <c r="C63" s="53" t="s">
        <v>289</v>
      </c>
      <c r="D63" s="43" t="s">
        <v>9</v>
      </c>
      <c r="E63" s="424">
        <v>0</v>
      </c>
      <c r="F63" s="174">
        <v>0</v>
      </c>
    </row>
    <row r="64" spans="2:8" ht="17.5">
      <c r="B64" s="146" t="s">
        <v>310</v>
      </c>
      <c r="C64" s="53" t="s">
        <v>289</v>
      </c>
      <c r="D64" s="43" t="s">
        <v>9</v>
      </c>
      <c r="E64" s="424">
        <v>0</v>
      </c>
      <c r="F64" s="174">
        <v>0</v>
      </c>
    </row>
    <row r="65" spans="2:6" ht="17.5">
      <c r="B65" s="146" t="s">
        <v>311</v>
      </c>
      <c r="C65" s="53" t="s">
        <v>289</v>
      </c>
      <c r="D65" s="43" t="s">
        <v>9</v>
      </c>
      <c r="E65" s="424">
        <v>0</v>
      </c>
      <c r="F65" s="174">
        <v>0</v>
      </c>
    </row>
    <row r="66" spans="2:6">
      <c r="B66" s="135" t="s">
        <v>251</v>
      </c>
      <c r="C66" s="53" t="s">
        <v>289</v>
      </c>
      <c r="D66" s="43" t="s">
        <v>9</v>
      </c>
      <c r="E66" s="425"/>
      <c r="F66" s="177"/>
    </row>
    <row r="67" spans="2:6">
      <c r="B67" s="135" t="s">
        <v>198</v>
      </c>
      <c r="C67" s="53" t="s">
        <v>289</v>
      </c>
      <c r="D67" s="43" t="s">
        <v>9</v>
      </c>
      <c r="E67" s="424">
        <v>0</v>
      </c>
      <c r="F67" s="174">
        <v>0</v>
      </c>
    </row>
    <row r="68" spans="2:6" ht="15" thickBot="1">
      <c r="B68" s="137" t="s">
        <v>199</v>
      </c>
      <c r="C68" s="76" t="s">
        <v>289</v>
      </c>
      <c r="D68" s="77" t="s">
        <v>9</v>
      </c>
      <c r="E68" s="508">
        <v>0.37151400000000001</v>
      </c>
      <c r="F68" s="509">
        <v>0.7</v>
      </c>
    </row>
    <row r="70" spans="2:6" ht="15" thickBot="1"/>
    <row r="71" spans="2:6" ht="18">
      <c r="B71" s="131" t="s">
        <v>7</v>
      </c>
      <c r="C71" s="139"/>
      <c r="D71" s="39" t="s">
        <v>0</v>
      </c>
      <c r="E71" s="421">
        <v>2020</v>
      </c>
      <c r="F71" s="132">
        <v>2021</v>
      </c>
    </row>
    <row r="72" spans="2:6">
      <c r="B72" s="133" t="s">
        <v>6</v>
      </c>
      <c r="C72" s="140"/>
      <c r="D72" s="85"/>
      <c r="E72" s="422">
        <v>2021</v>
      </c>
      <c r="F72" s="134">
        <v>2022</v>
      </c>
    </row>
    <row r="73" spans="2:6">
      <c r="B73" s="624" t="s">
        <v>281</v>
      </c>
      <c r="C73" s="637"/>
      <c r="D73" s="637"/>
      <c r="E73" s="625"/>
      <c r="F73" s="638"/>
    </row>
    <row r="74" spans="2:6">
      <c r="B74" s="135" t="s">
        <v>282</v>
      </c>
      <c r="C74" s="88" t="s">
        <v>123</v>
      </c>
      <c r="D74" s="85" t="s">
        <v>3</v>
      </c>
      <c r="E74" s="428">
        <f>E125*1000000/'Collecte et tri'!P9</f>
        <v>0</v>
      </c>
      <c r="F74" s="190">
        <f>F125*1000000/'Collecte et tri'!Q9</f>
        <v>0</v>
      </c>
    </row>
    <row r="75" spans="2:6">
      <c r="B75" s="135" t="s">
        <v>283</v>
      </c>
      <c r="C75" s="88" t="s">
        <v>123</v>
      </c>
      <c r="D75" s="85" t="s">
        <v>3</v>
      </c>
      <c r="E75" s="428">
        <f>E37*1000000/'Collecte et tri'!P9</f>
        <v>0</v>
      </c>
      <c r="F75" s="190">
        <f>F37*1000000/'Collecte et tri'!Q9</f>
        <v>0</v>
      </c>
    </row>
    <row r="76" spans="2:6" ht="15" thickBot="1">
      <c r="B76" s="137" t="s">
        <v>284</v>
      </c>
      <c r="C76" s="62" t="s">
        <v>123</v>
      </c>
      <c r="D76" s="77" t="s">
        <v>3</v>
      </c>
      <c r="E76" s="429">
        <f>SUM(E21:E27)*1000000/'Collecte et tri'!P9</f>
        <v>0</v>
      </c>
      <c r="F76" s="147">
        <f>SUM(F21:F27)*1000000/'Collecte et tri'!Q9</f>
        <v>0</v>
      </c>
    </row>
    <row r="78" spans="2:6" ht="15" thickBot="1"/>
    <row r="79" spans="2:6" ht="18">
      <c r="B79" s="131" t="s">
        <v>7</v>
      </c>
      <c r="C79" s="139"/>
      <c r="D79" s="39" t="s">
        <v>0</v>
      </c>
      <c r="E79" s="421">
        <v>2020</v>
      </c>
      <c r="F79" s="132">
        <v>2021</v>
      </c>
    </row>
    <row r="80" spans="2:6" ht="20.149999999999999" customHeight="1">
      <c r="B80" s="133" t="s">
        <v>6</v>
      </c>
      <c r="C80" s="148"/>
      <c r="D80" s="43"/>
      <c r="E80" s="422">
        <v>2021</v>
      </c>
      <c r="F80" s="134">
        <v>2022</v>
      </c>
    </row>
    <row r="81" spans="2:8" ht="26.15" customHeight="1">
      <c r="B81" s="624" t="s">
        <v>126</v>
      </c>
      <c r="C81" s="637"/>
      <c r="D81" s="637"/>
      <c r="E81" s="625"/>
      <c r="F81" s="638"/>
    </row>
    <row r="82" spans="2:8">
      <c r="B82" s="135" t="s">
        <v>134</v>
      </c>
      <c r="C82" s="53" t="s">
        <v>289</v>
      </c>
      <c r="D82" s="43" t="s">
        <v>3</v>
      </c>
      <c r="E82" s="430">
        <v>0</v>
      </c>
      <c r="F82" s="194">
        <v>0</v>
      </c>
    </row>
    <row r="83" spans="2:8">
      <c r="B83" s="135" t="s">
        <v>127</v>
      </c>
      <c r="C83" s="53" t="s">
        <v>289</v>
      </c>
      <c r="D83" s="43" t="s">
        <v>3</v>
      </c>
      <c r="E83" s="430">
        <v>0</v>
      </c>
      <c r="F83" s="194">
        <v>0</v>
      </c>
    </row>
    <row r="84" spans="2:8">
      <c r="B84" s="135" t="s">
        <v>128</v>
      </c>
      <c r="C84" s="53" t="s">
        <v>289</v>
      </c>
      <c r="D84" s="43" t="s">
        <v>3</v>
      </c>
      <c r="E84" s="430">
        <v>0</v>
      </c>
      <c r="F84" s="194">
        <v>0</v>
      </c>
    </row>
    <row r="85" spans="2:8">
      <c r="B85" s="135" t="s">
        <v>129</v>
      </c>
      <c r="C85" s="53" t="s">
        <v>289</v>
      </c>
      <c r="D85" s="43" t="s">
        <v>3</v>
      </c>
      <c r="E85" s="430">
        <v>0</v>
      </c>
      <c r="F85" s="194">
        <v>0</v>
      </c>
    </row>
    <row r="86" spans="2:8">
      <c r="B86" s="135" t="s">
        <v>130</v>
      </c>
      <c r="C86" s="53" t="s">
        <v>289</v>
      </c>
      <c r="D86" s="43" t="s">
        <v>3</v>
      </c>
      <c r="E86" s="430">
        <v>0</v>
      </c>
      <c r="F86" s="194">
        <v>0</v>
      </c>
    </row>
    <row r="87" spans="2:8">
      <c r="B87" s="135" t="s">
        <v>131</v>
      </c>
      <c r="C87" s="53" t="s">
        <v>289</v>
      </c>
      <c r="D87" s="43" t="s">
        <v>3</v>
      </c>
      <c r="E87" s="430">
        <v>0</v>
      </c>
      <c r="F87" s="194">
        <v>0</v>
      </c>
    </row>
    <row r="88" spans="2:8">
      <c r="B88" s="135" t="s">
        <v>132</v>
      </c>
      <c r="C88" s="53" t="s">
        <v>289</v>
      </c>
      <c r="D88" s="43" t="s">
        <v>3</v>
      </c>
      <c r="E88" s="430">
        <v>0</v>
      </c>
      <c r="F88" s="194">
        <v>0</v>
      </c>
    </row>
    <row r="89" spans="2:8" ht="20.149999999999999" customHeight="1" thickBot="1">
      <c r="B89" s="137" t="s">
        <v>133</v>
      </c>
      <c r="C89" s="76" t="s">
        <v>289</v>
      </c>
      <c r="D89" s="77" t="s">
        <v>3</v>
      </c>
      <c r="E89" s="431">
        <v>0</v>
      </c>
      <c r="F89" s="197">
        <v>0</v>
      </c>
    </row>
    <row r="90" spans="2:8" ht="14.15" customHeight="1"/>
    <row r="91" spans="2:8" ht="14.15" customHeight="1" thickBot="1"/>
    <row r="92" spans="2:8" ht="29.15" customHeight="1" thickBot="1">
      <c r="B92" s="645" t="s">
        <v>392</v>
      </c>
      <c r="C92" s="646"/>
      <c r="D92" s="646"/>
      <c r="E92" s="646"/>
      <c r="F92" s="646"/>
      <c r="G92" s="646"/>
      <c r="H92" s="647"/>
    </row>
    <row r="93" spans="2:8" ht="20.149999999999999" customHeight="1">
      <c r="B93" s="149" t="s">
        <v>135</v>
      </c>
      <c r="C93" s="150"/>
      <c r="D93" s="151"/>
      <c r="E93" s="152" t="s">
        <v>136</v>
      </c>
      <c r="F93" s="152" t="s">
        <v>137</v>
      </c>
      <c r="G93" s="152" t="s">
        <v>138</v>
      </c>
      <c r="H93" s="153" t="s">
        <v>139</v>
      </c>
    </row>
    <row r="94" spans="2:8">
      <c r="B94" s="135" t="s">
        <v>134</v>
      </c>
      <c r="C94" s="53" t="s">
        <v>289</v>
      </c>
      <c r="D94" s="43" t="s">
        <v>3</v>
      </c>
      <c r="E94" s="193">
        <v>0</v>
      </c>
      <c r="F94" s="193">
        <v>0</v>
      </c>
      <c r="G94" s="201">
        <v>0</v>
      </c>
      <c r="H94" s="202">
        <v>0</v>
      </c>
    </row>
    <row r="95" spans="2:8">
      <c r="B95" s="135" t="s">
        <v>127</v>
      </c>
      <c r="C95" s="53" t="s">
        <v>289</v>
      </c>
      <c r="D95" s="43" t="s">
        <v>3</v>
      </c>
      <c r="E95" s="193">
        <v>0</v>
      </c>
      <c r="F95" s="193">
        <v>0</v>
      </c>
      <c r="G95" s="201">
        <v>0</v>
      </c>
      <c r="H95" s="202">
        <v>0</v>
      </c>
    </row>
    <row r="96" spans="2:8">
      <c r="B96" s="135" t="s">
        <v>128</v>
      </c>
      <c r="C96" s="53" t="s">
        <v>289</v>
      </c>
      <c r="D96" s="43" t="s">
        <v>3</v>
      </c>
      <c r="E96" s="193">
        <v>0</v>
      </c>
      <c r="F96" s="193">
        <v>0</v>
      </c>
      <c r="G96" s="201">
        <v>0</v>
      </c>
      <c r="H96" s="202">
        <v>0</v>
      </c>
    </row>
    <row r="97" spans="2:8">
      <c r="B97" s="135" t="s">
        <v>129</v>
      </c>
      <c r="C97" s="53" t="s">
        <v>289</v>
      </c>
      <c r="D97" s="43" t="s">
        <v>3</v>
      </c>
      <c r="E97" s="193">
        <v>0</v>
      </c>
      <c r="F97" s="193">
        <v>0</v>
      </c>
      <c r="G97" s="201">
        <v>0</v>
      </c>
      <c r="H97" s="202">
        <v>0</v>
      </c>
    </row>
    <row r="98" spans="2:8">
      <c r="B98" s="135" t="s">
        <v>130</v>
      </c>
      <c r="C98" s="53" t="s">
        <v>289</v>
      </c>
      <c r="D98" s="43" t="s">
        <v>3</v>
      </c>
      <c r="E98" s="193">
        <v>0</v>
      </c>
      <c r="F98" s="193">
        <v>0</v>
      </c>
      <c r="G98" s="201">
        <v>0</v>
      </c>
      <c r="H98" s="202">
        <v>0</v>
      </c>
    </row>
    <row r="99" spans="2:8">
      <c r="B99" s="135" t="s">
        <v>131</v>
      </c>
      <c r="C99" s="53" t="s">
        <v>289</v>
      </c>
      <c r="D99" s="43" t="s">
        <v>3</v>
      </c>
      <c r="E99" s="193">
        <v>0</v>
      </c>
      <c r="F99" s="193">
        <v>0</v>
      </c>
      <c r="G99" s="201">
        <v>0</v>
      </c>
      <c r="H99" s="202">
        <v>0</v>
      </c>
    </row>
    <row r="100" spans="2:8">
      <c r="B100" s="135" t="s">
        <v>132</v>
      </c>
      <c r="C100" s="53" t="s">
        <v>289</v>
      </c>
      <c r="D100" s="43" t="s">
        <v>3</v>
      </c>
      <c r="E100" s="193">
        <v>0</v>
      </c>
      <c r="F100" s="193">
        <v>0</v>
      </c>
      <c r="G100" s="201">
        <v>0</v>
      </c>
      <c r="H100" s="202">
        <v>0</v>
      </c>
    </row>
    <row r="101" spans="2:8" ht="20.149999999999999" customHeight="1" thickBot="1">
      <c r="B101" s="137" t="s">
        <v>133</v>
      </c>
      <c r="C101" s="76" t="s">
        <v>289</v>
      </c>
      <c r="D101" s="77" t="s">
        <v>3</v>
      </c>
      <c r="E101" s="203">
        <v>0</v>
      </c>
      <c r="F101" s="203">
        <v>0</v>
      </c>
      <c r="G101" s="196">
        <v>0</v>
      </c>
      <c r="H101" s="197">
        <v>0</v>
      </c>
    </row>
    <row r="102" spans="2:8" ht="14.9" customHeight="1"/>
    <row r="103" spans="2:8" ht="15" thickBot="1"/>
    <row r="104" spans="2:8" ht="18">
      <c r="B104" s="131" t="s">
        <v>7</v>
      </c>
      <c r="C104" s="139"/>
      <c r="D104" s="39" t="s">
        <v>0</v>
      </c>
      <c r="E104" s="421">
        <v>2020</v>
      </c>
      <c r="F104" s="132">
        <v>2021</v>
      </c>
    </row>
    <row r="105" spans="2:8">
      <c r="B105" s="133" t="s">
        <v>6</v>
      </c>
      <c r="C105" s="148"/>
      <c r="D105" s="43"/>
      <c r="E105" s="454">
        <v>2021</v>
      </c>
      <c r="F105" s="134">
        <v>2022</v>
      </c>
    </row>
    <row r="106" spans="2:8">
      <c r="B106" s="624" t="s">
        <v>229</v>
      </c>
      <c r="C106" s="625"/>
      <c r="D106" s="625"/>
      <c r="E106" s="625"/>
      <c r="F106" s="626"/>
    </row>
    <row r="107" spans="2:8">
      <c r="B107" s="135" t="s">
        <v>228</v>
      </c>
      <c r="C107" s="53" t="s">
        <v>289</v>
      </c>
      <c r="D107" s="43" t="s">
        <v>9</v>
      </c>
      <c r="E107" s="455"/>
      <c r="F107" s="154"/>
    </row>
    <row r="108" spans="2:8">
      <c r="B108" s="135" t="s">
        <v>57</v>
      </c>
      <c r="C108" s="53" t="s">
        <v>289</v>
      </c>
      <c r="D108" s="43" t="s">
        <v>9</v>
      </c>
      <c r="E108" s="455"/>
      <c r="F108" s="154"/>
    </row>
    <row r="109" spans="2:8">
      <c r="B109" s="135" t="s">
        <v>20</v>
      </c>
      <c r="C109" s="105" t="s">
        <v>123</v>
      </c>
      <c r="D109" s="43" t="s">
        <v>9</v>
      </c>
      <c r="E109" s="456"/>
      <c r="F109" s="155"/>
    </row>
    <row r="110" spans="2:8">
      <c r="B110" s="135" t="s">
        <v>58</v>
      </c>
      <c r="C110" s="53" t="s">
        <v>289</v>
      </c>
      <c r="D110" s="43" t="s">
        <v>9</v>
      </c>
      <c r="E110" s="456"/>
      <c r="F110" s="155"/>
    </row>
    <row r="111" spans="2:8">
      <c r="B111" s="135" t="s">
        <v>59</v>
      </c>
      <c r="C111" s="105" t="s">
        <v>123</v>
      </c>
      <c r="D111" s="43" t="s">
        <v>3</v>
      </c>
      <c r="E111" s="457"/>
      <c r="F111" s="156"/>
    </row>
    <row r="112" spans="2:8">
      <c r="B112" s="624" t="s">
        <v>220</v>
      </c>
      <c r="C112" s="625"/>
      <c r="D112" s="625"/>
      <c r="E112" s="625"/>
      <c r="F112" s="626"/>
    </row>
    <row r="113" spans="2:14">
      <c r="B113" s="135" t="s">
        <v>204</v>
      </c>
      <c r="C113" s="105" t="s">
        <v>123</v>
      </c>
      <c r="D113" s="43" t="s">
        <v>11</v>
      </c>
      <c r="E113" s="458">
        <f>$C130*('Mise sur le marché'!P64+'Mise sur le marché'!P65)+$C131*'Mise sur le marché'!P63+$C132*'Mise sur le marché'!P67+$C133*'Mise sur le marché'!P70+$C134*'Mise sur le marché'!P61+$C136*'Mise sur le marché'!P60</f>
        <v>2.1164086150530186</v>
      </c>
      <c r="F113" s="157">
        <f>$C130*('Mise sur le marché'!Q64+'Mise sur le marché'!Q65)+$C131*'Mise sur le marché'!Q63+$C132*'Mise sur le marché'!Q67+$C133*'Mise sur le marché'!Q70+$C134*'Mise sur le marché'!Q61+$C136*'Mise sur le marché'!Q60</f>
        <v>4.6652851127840451</v>
      </c>
    </row>
    <row r="114" spans="2:14">
      <c r="B114" s="135" t="s">
        <v>203</v>
      </c>
      <c r="C114" s="105" t="s">
        <v>123</v>
      </c>
      <c r="D114" s="43" t="s">
        <v>11</v>
      </c>
      <c r="E114" s="458">
        <f>$C138*'Mise sur le marché'!P76</f>
        <v>2.5543542267403188E-3</v>
      </c>
      <c r="F114" s="157">
        <f>$C138*'Mise sur le marché'!Q76</f>
        <v>0.64912807164873187</v>
      </c>
    </row>
    <row r="115" spans="2:14">
      <c r="B115" s="135" t="s">
        <v>205</v>
      </c>
      <c r="C115" s="105" t="s">
        <v>123</v>
      </c>
      <c r="D115" s="43" t="s">
        <v>11</v>
      </c>
      <c r="E115" s="458">
        <f>$C135*'Mise sur le marché'!P61+$C137*'Mise sur le marché'!P60</f>
        <v>8.4606331741491382E-3</v>
      </c>
      <c r="F115" s="157">
        <f>$C135*'Mise sur le marché'!Q61+$C137*'Mise sur le marché'!Q60</f>
        <v>3.6478288196919811E-2</v>
      </c>
    </row>
    <row r="116" spans="2:14">
      <c r="B116" s="135" t="s">
        <v>206</v>
      </c>
      <c r="C116" s="105" t="s">
        <v>123</v>
      </c>
      <c r="D116" s="43" t="s">
        <v>9</v>
      </c>
      <c r="E116" s="458">
        <f>(E113*$E130+E114*$E138+E115*$E135)/1000</f>
        <v>1.3780687535346412</v>
      </c>
      <c r="F116" s="157">
        <f t="shared" ref="F116" si="0">(F113*$E130+F114*$E138+F115*$E135)/1000</f>
        <v>3.0893789840475803</v>
      </c>
    </row>
    <row r="117" spans="2:14">
      <c r="B117" s="135" t="s">
        <v>207</v>
      </c>
      <c r="C117" s="105" t="s">
        <v>123</v>
      </c>
      <c r="D117" s="43" t="s">
        <v>9</v>
      </c>
      <c r="E117" s="458">
        <f>($C130*J142*'Mise sur le marché'!E64+$C131*J143*'Mise sur le marché'!E63+$C132*J144*'Mise sur le marché'!E67+$C133*J145*'Mise sur le marché'!E70+$C134*J146*'Mise sur le marché'!E61+$C135*J147*'Mise sur le marché'!E61+$C136*J148*'Mise sur le marché'!E60+$C137*J149*'Mise sur le marché'!E60+$C138*J150*'Mise sur le marché'!E76)/1000</f>
        <v>0</v>
      </c>
      <c r="F117" s="157">
        <f>($C130*K142*'Mise sur le marché'!F64+$C131*K143*'Mise sur le marché'!F63+$C132*K144*'Mise sur le marché'!F67+$C133*K145*'Mise sur le marché'!F70+$C134*K146*'Mise sur le marché'!F61+$C135*K147*'Mise sur le marché'!F61+$C136*K148*'Mise sur le marché'!F60+$C137*K149*'Mise sur le marché'!F60+$C138*K150*'Mise sur le marché'!F76)/1000</f>
        <v>0</v>
      </c>
    </row>
    <row r="118" spans="2:14">
      <c r="B118" s="135" t="s">
        <v>208</v>
      </c>
      <c r="C118" s="105" t="s">
        <v>123</v>
      </c>
      <c r="D118" s="43" t="s">
        <v>9</v>
      </c>
      <c r="E118" s="458">
        <f>E116-E117</f>
        <v>1.3780687535346412</v>
      </c>
      <c r="F118" s="157">
        <f>F116-F117</f>
        <v>3.0893789840475803</v>
      </c>
    </row>
    <row r="119" spans="2:14">
      <c r="B119" s="135" t="s">
        <v>223</v>
      </c>
      <c r="C119" s="105" t="s">
        <v>123</v>
      </c>
      <c r="D119" s="43" t="s">
        <v>9</v>
      </c>
      <c r="E119" s="458">
        <f>E35-E22-E33</f>
        <v>0</v>
      </c>
      <c r="F119" s="157">
        <f>F37-F28-F35</f>
        <v>0</v>
      </c>
    </row>
    <row r="120" spans="2:14">
      <c r="B120" s="135" t="s">
        <v>224</v>
      </c>
      <c r="C120" s="105" t="s">
        <v>123</v>
      </c>
      <c r="D120" s="43" t="s">
        <v>9</v>
      </c>
      <c r="E120" s="458">
        <f>E38+E39+E46</f>
        <v>0</v>
      </c>
      <c r="F120" s="157">
        <f>F39+F43+F49</f>
        <v>0</v>
      </c>
    </row>
    <row r="121" spans="2:14">
      <c r="B121" s="135" t="s">
        <v>315</v>
      </c>
      <c r="C121" s="47" t="s">
        <v>141</v>
      </c>
      <c r="D121" s="43" t="s">
        <v>9</v>
      </c>
      <c r="E121" s="452">
        <v>0</v>
      </c>
      <c r="F121" s="141">
        <v>0</v>
      </c>
    </row>
    <row r="122" spans="2:14">
      <c r="B122" s="135" t="s">
        <v>225</v>
      </c>
      <c r="C122" s="47" t="s">
        <v>123</v>
      </c>
      <c r="D122" s="43" t="s">
        <v>9</v>
      </c>
      <c r="E122" s="432">
        <f>E24+SUM(E53:E56)</f>
        <v>0</v>
      </c>
      <c r="F122" s="157">
        <f>F24+SUM(F53:F56)</f>
        <v>0</v>
      </c>
    </row>
    <row r="123" spans="2:14">
      <c r="B123" s="135" t="s">
        <v>317</v>
      </c>
      <c r="C123" s="47" t="s">
        <v>123</v>
      </c>
      <c r="D123" s="43" t="s">
        <v>9</v>
      </c>
      <c r="E123" s="458">
        <f>E47+E51</f>
        <v>0</v>
      </c>
      <c r="F123" s="157">
        <f>F47+F51</f>
        <v>0</v>
      </c>
    </row>
    <row r="124" spans="2:14">
      <c r="B124" s="135" t="s">
        <v>226</v>
      </c>
      <c r="C124" s="47" t="s">
        <v>123</v>
      </c>
      <c r="D124" s="43" t="s">
        <v>9</v>
      </c>
      <c r="E124" s="432">
        <f>E44+E35</f>
        <v>0</v>
      </c>
      <c r="F124" s="157">
        <f>F44+F35</f>
        <v>0</v>
      </c>
    </row>
    <row r="125" spans="2:14">
      <c r="B125" s="135" t="s">
        <v>227</v>
      </c>
      <c r="C125" s="105" t="s">
        <v>123</v>
      </c>
      <c r="D125" s="43" t="s">
        <v>9</v>
      </c>
      <c r="E125" s="458">
        <f>SUM(E119:E124)</f>
        <v>0</v>
      </c>
      <c r="F125" s="157">
        <f>SUM(F119:F124)</f>
        <v>0</v>
      </c>
    </row>
    <row r="126" spans="2:14">
      <c r="B126" s="135" t="s">
        <v>253</v>
      </c>
      <c r="C126" s="105" t="s">
        <v>123</v>
      </c>
      <c r="D126" s="43" t="s">
        <v>9</v>
      </c>
      <c r="E126" s="459">
        <f>E118+E122/0.8-E124</f>
        <v>1.3780687535346412</v>
      </c>
      <c r="F126" s="218">
        <f>F118+F122/0.8-F124</f>
        <v>3.0893789840475803</v>
      </c>
    </row>
    <row r="127" spans="2:14" ht="15" thickBot="1">
      <c r="B127" s="137" t="s">
        <v>59</v>
      </c>
      <c r="C127" s="62" t="s">
        <v>123</v>
      </c>
      <c r="D127" s="77" t="s">
        <v>3</v>
      </c>
      <c r="E127" s="410">
        <f>E125/E126</f>
        <v>0</v>
      </c>
      <c r="F127" s="119">
        <f>F125/F126</f>
        <v>0</v>
      </c>
    </row>
    <row r="128" spans="2:14">
      <c r="B128" s="643" t="s">
        <v>221</v>
      </c>
      <c r="C128" s="644"/>
      <c r="D128" s="644"/>
      <c r="E128" s="453"/>
      <c r="G128" s="648" t="s">
        <v>222</v>
      </c>
      <c r="H128" s="649"/>
      <c r="I128" s="649"/>
      <c r="J128" s="649"/>
      <c r="K128" s="649"/>
      <c r="L128" s="649"/>
      <c r="M128" s="649"/>
      <c r="N128" s="649"/>
    </row>
    <row r="129" spans="2:15" ht="14.5" customHeight="1">
      <c r="B129" s="160" t="s">
        <v>209</v>
      </c>
      <c r="C129" s="219" t="s">
        <v>3</v>
      </c>
      <c r="E129" s="476" t="s">
        <v>219</v>
      </c>
      <c r="G129" s="205">
        <v>2014</v>
      </c>
      <c r="H129" s="205">
        <v>2015</v>
      </c>
      <c r="I129" s="205">
        <v>2016</v>
      </c>
      <c r="J129" s="159">
        <v>2017</v>
      </c>
      <c r="K129" s="159">
        <v>2018</v>
      </c>
      <c r="L129" s="159">
        <v>2019</v>
      </c>
      <c r="M129" s="159">
        <v>2020</v>
      </c>
      <c r="N129" s="159">
        <v>2021</v>
      </c>
    </row>
    <row r="130" spans="2:15">
      <c r="B130" s="161" t="s">
        <v>210</v>
      </c>
      <c r="C130" s="103">
        <v>0.72738071364458112</v>
      </c>
      <c r="E130" s="205">
        <v>650</v>
      </c>
      <c r="G130" s="220">
        <f>'Indicateurs économiques - Citeo'!J130</f>
        <v>75.738</v>
      </c>
      <c r="H130" s="221">
        <f>'Indicateurs économiques - Citeo'!K130</f>
        <v>89.6</v>
      </c>
      <c r="I130" s="221">
        <f>'Indicateurs économiques - Citeo'!L130</f>
        <v>97.308999999999983</v>
      </c>
      <c r="J130" s="221">
        <f>'Indicateurs économiques - Citeo'!M130</f>
        <v>106.8</v>
      </c>
      <c r="K130" s="220">
        <f>'Indicateurs économiques - Citeo'!N130</f>
        <v>75.2</v>
      </c>
      <c r="L130" s="220">
        <f>'Indicateurs économiques - Citeo'!O130</f>
        <v>48.841840185226999</v>
      </c>
      <c r="M130" s="480">
        <f>'Indicateurs économiques - Citeo'!P130</f>
        <v>30.8775217553051</v>
      </c>
      <c r="N130" s="205">
        <f>'Indicateurs économiques - Citeo'!Q130</f>
        <v>146.33956278418441</v>
      </c>
      <c r="O130" s="36"/>
    </row>
    <row r="131" spans="2:15">
      <c r="B131" s="161" t="s">
        <v>211</v>
      </c>
      <c r="C131" s="103">
        <v>0.55429260218782106</v>
      </c>
      <c r="E131" s="205">
        <v>650</v>
      </c>
      <c r="G131" s="220" t="str">
        <f>'Indicateurs économiques - Citeo'!J131</f>
        <v>ND</v>
      </c>
      <c r="H131" s="220">
        <f>'Indicateurs économiques - Citeo'!K131</f>
        <v>8.1999999999999993</v>
      </c>
      <c r="I131" s="221">
        <f>'Indicateurs économiques - Citeo'!L131</f>
        <v>7.6</v>
      </c>
      <c r="J131" s="221">
        <f>'Indicateurs économiques - Citeo'!M131</f>
        <v>8.1</v>
      </c>
      <c r="K131" s="220">
        <f>'Indicateurs économiques - Citeo'!N131</f>
        <v>10.7</v>
      </c>
      <c r="L131" s="220">
        <f>'Indicateurs économiques - Citeo'!O131</f>
        <v>10.199999999999999</v>
      </c>
      <c r="M131" s="480">
        <f>'Indicateurs économiques - Citeo'!P131</f>
        <v>7.6</v>
      </c>
      <c r="N131" s="205">
        <f>'Indicateurs économiques - Citeo'!Q131</f>
        <v>11.071444026582865</v>
      </c>
      <c r="O131" s="36"/>
    </row>
    <row r="132" spans="2:15">
      <c r="B132" s="161" t="s">
        <v>212</v>
      </c>
      <c r="C132" s="103">
        <v>0.69681649272636292</v>
      </c>
      <c r="E132" s="205">
        <v>650</v>
      </c>
      <c r="G132" s="220">
        <f>'Indicateurs économiques - Citeo'!J132</f>
        <v>255.67500000000001</v>
      </c>
      <c r="H132" s="221">
        <f>'Indicateurs économiques - Citeo'!K132</f>
        <v>211.8</v>
      </c>
      <c r="I132" s="220">
        <f>'Indicateurs économiques - Citeo'!L132</f>
        <v>187.982</v>
      </c>
      <c r="J132" s="220">
        <f>'Indicateurs économiques - Citeo'!M132</f>
        <v>158.4</v>
      </c>
      <c r="K132" s="220" t="str">
        <f>'Indicateurs économiques - Citeo'!N132</f>
        <v>ND</v>
      </c>
      <c r="L132" s="220" t="str">
        <f>'Indicateurs économiques - Citeo'!O132</f>
        <v>ND</v>
      </c>
      <c r="M132" s="480" t="str">
        <f>'Indicateurs économiques - Citeo'!P132</f>
        <v>ND</v>
      </c>
      <c r="N132" s="205" t="str">
        <f>'Indicateurs économiques - Citeo'!Q132</f>
        <v>ND</v>
      </c>
      <c r="O132" s="36"/>
    </row>
    <row r="133" spans="2:15">
      <c r="B133" s="161" t="s">
        <v>218</v>
      </c>
      <c r="C133" s="103">
        <v>0.18784891850795143</v>
      </c>
      <c r="E133" s="205">
        <v>650</v>
      </c>
      <c r="G133" s="220" t="str">
        <f>'Indicateurs économiques - Citeo'!J133</f>
        <v>ND</v>
      </c>
      <c r="H133" s="220" t="str">
        <f>'Indicateurs économiques - Citeo'!K133</f>
        <v>ND</v>
      </c>
      <c r="I133" s="220" t="str">
        <f>'Indicateurs économiques - Citeo'!L133</f>
        <v>ND</v>
      </c>
      <c r="J133" s="220">
        <f>'Indicateurs économiques - Citeo'!M133</f>
        <v>73</v>
      </c>
      <c r="K133" s="220" t="str">
        <f>'Indicateurs économiques - Citeo'!N133</f>
        <v>ND</v>
      </c>
      <c r="L133" s="220" t="str">
        <f>'Indicateurs économiques - Citeo'!O133</f>
        <v>ND</v>
      </c>
      <c r="M133" s="480" t="str">
        <f>'Indicateurs économiques - Citeo'!P133</f>
        <v>ND</v>
      </c>
      <c r="N133" s="205" t="str">
        <f>'Indicateurs économiques - Citeo'!Q133</f>
        <v>ND</v>
      </c>
      <c r="O133" s="36"/>
    </row>
    <row r="134" spans="2:15">
      <c r="B134" s="161" t="s">
        <v>213</v>
      </c>
      <c r="C134" s="103">
        <v>0.21513481994367534</v>
      </c>
      <c r="E134" s="205">
        <v>650</v>
      </c>
      <c r="G134" s="220">
        <f>'Indicateurs économiques - Citeo'!J134</f>
        <v>467.33280000000002</v>
      </c>
      <c r="H134" s="221">
        <f>'Indicateurs économiques - Citeo'!K134</f>
        <v>469.2</v>
      </c>
      <c r="I134" s="221">
        <f>'Indicateurs économiques - Citeo'!L134</f>
        <v>424.1</v>
      </c>
      <c r="J134" s="221">
        <f>'Indicateurs économiques - Citeo'!M134</f>
        <v>477.6</v>
      </c>
      <c r="K134" s="220">
        <f>'Indicateurs économiques - Citeo'!N134</f>
        <v>513.20000000000005</v>
      </c>
      <c r="L134" s="220">
        <f>'Indicateurs économiques - Citeo'!O134</f>
        <v>455</v>
      </c>
      <c r="M134" s="480">
        <f>'Indicateurs économiques - Citeo'!P134</f>
        <v>358.1</v>
      </c>
      <c r="N134" s="205">
        <f>'Indicateurs économiques - Citeo'!Q134</f>
        <v>605.26626709851894</v>
      </c>
      <c r="O134" s="36"/>
    </row>
    <row r="135" spans="2:15">
      <c r="B135" s="161" t="s">
        <v>214</v>
      </c>
      <c r="C135" s="103">
        <v>0.25539732801886023</v>
      </c>
      <c r="E135" s="205">
        <v>262</v>
      </c>
      <c r="G135" s="220">
        <f>'Indicateurs économiques - Citeo'!J135</f>
        <v>636.64300000000003</v>
      </c>
      <c r="H135" s="221">
        <f>'Indicateurs économiques - Citeo'!K135</f>
        <v>589.5</v>
      </c>
      <c r="I135" s="221">
        <f>'Indicateurs économiques - Citeo'!L135</f>
        <v>526.43280000000004</v>
      </c>
      <c r="J135" s="221">
        <f>'Indicateurs économiques - Citeo'!M135</f>
        <v>596.29999999999995</v>
      </c>
      <c r="K135" s="220">
        <f>'Indicateurs économiques - Citeo'!N135</f>
        <v>635</v>
      </c>
      <c r="L135" s="220">
        <f>'Indicateurs économiques - Citeo'!O135</f>
        <v>485.4</v>
      </c>
      <c r="M135" s="480">
        <f>'Indicateurs économiques - Citeo'!P135</f>
        <v>230.7</v>
      </c>
      <c r="N135" s="205">
        <f>'Indicateurs économiques - Citeo'!Q135</f>
        <v>650.20000000000005</v>
      </c>
      <c r="O135" s="184"/>
    </row>
    <row r="136" spans="2:15">
      <c r="B136" s="161" t="s">
        <v>215</v>
      </c>
      <c r="C136" s="103">
        <v>0.49634375880744513</v>
      </c>
      <c r="E136" s="205">
        <v>650</v>
      </c>
      <c r="G136" s="220">
        <f>'Indicateurs économiques - Citeo'!J136</f>
        <v>134.18699999999998</v>
      </c>
      <c r="H136" s="221">
        <f>'Indicateurs économiques - Citeo'!K136</f>
        <v>109.2</v>
      </c>
      <c r="I136" s="221">
        <f>'Indicateurs économiques - Citeo'!L136</f>
        <v>81.532700000000006</v>
      </c>
      <c r="J136" s="221">
        <f>'Indicateurs économiques - Citeo'!M136</f>
        <v>108.31599999999997</v>
      </c>
      <c r="K136" s="220">
        <f>'Indicateurs économiques - Citeo'!N136</f>
        <v>131.19999999999999</v>
      </c>
      <c r="L136" s="220">
        <f>'Indicateurs économiques - Citeo'!O136</f>
        <v>105.5</v>
      </c>
      <c r="M136" s="480">
        <f>'Indicateurs économiques - Citeo'!P136</f>
        <v>86.9</v>
      </c>
      <c r="N136" s="205">
        <f>'Indicateurs économiques - Citeo'!Q136</f>
        <v>186.24603371001689</v>
      </c>
      <c r="O136" s="36"/>
    </row>
    <row r="137" spans="2:15">
      <c r="B137" s="161" t="s">
        <v>216</v>
      </c>
      <c r="C137" s="103">
        <v>0.64253623628003764</v>
      </c>
      <c r="E137" s="205">
        <v>262</v>
      </c>
      <c r="G137" s="220">
        <f>'Indicateurs économiques - Citeo'!J137</f>
        <v>56.7</v>
      </c>
      <c r="H137" s="221">
        <f>'Indicateurs économiques - Citeo'!K137</f>
        <v>47.3</v>
      </c>
      <c r="I137" s="221">
        <f>'Indicateurs économiques - Citeo'!L137</f>
        <v>30.273599999999998</v>
      </c>
      <c r="J137" s="221">
        <f>'Indicateurs économiques - Citeo'!M137</f>
        <v>38.61</v>
      </c>
      <c r="K137" s="220">
        <f>'Indicateurs économiques - Citeo'!N137</f>
        <v>56</v>
      </c>
      <c r="L137" s="220">
        <f>'Indicateurs économiques - Citeo'!O137</f>
        <v>32.299999999999997</v>
      </c>
      <c r="M137" s="480">
        <f>'Indicateurs économiques - Citeo'!P137</f>
        <v>15.4</v>
      </c>
      <c r="N137" s="205">
        <f>'Indicateurs économiques - Citeo'!Q137</f>
        <v>98.6</v>
      </c>
      <c r="O137" s="36"/>
    </row>
    <row r="138" spans="2:15">
      <c r="B138" s="161" t="s">
        <v>217</v>
      </c>
      <c r="C138" s="103">
        <v>0.89720907156316076</v>
      </c>
      <c r="E138" s="205">
        <v>73</v>
      </c>
      <c r="G138" s="220">
        <f>'Indicateurs économiques - Citeo'!J138</f>
        <v>22.4</v>
      </c>
      <c r="H138" s="221">
        <f>'Indicateurs économiques - Citeo'!K138</f>
        <v>23.3</v>
      </c>
      <c r="I138" s="221">
        <f>'Indicateurs économiques - Citeo'!L138</f>
        <v>23.3</v>
      </c>
      <c r="J138" s="221">
        <f>'Indicateurs économiques - Citeo'!M138</f>
        <v>23.5</v>
      </c>
      <c r="K138" s="220">
        <f>'Indicateurs économiques - Citeo'!N138</f>
        <v>24.38</v>
      </c>
      <c r="L138" s="220">
        <f>'Indicateurs économiques - Citeo'!O138</f>
        <v>24.38</v>
      </c>
      <c r="M138" s="480">
        <f>'Indicateurs économiques - Citeo'!P138</f>
        <v>18.79</v>
      </c>
      <c r="N138" s="205">
        <f>'Indicateurs économiques - Citeo'!Q138</f>
        <v>16.84</v>
      </c>
      <c r="O138" s="36"/>
    </row>
    <row r="139" spans="2:15">
      <c r="B139" s="161" t="s">
        <v>318</v>
      </c>
      <c r="D139" s="36"/>
      <c r="E139" s="36"/>
      <c r="G139" s="220">
        <f>'Indicateurs économiques - Citeo'!J139</f>
        <v>0</v>
      </c>
      <c r="H139" s="220">
        <f>'Indicateurs économiques - Citeo'!K139</f>
        <v>0</v>
      </c>
      <c r="I139" s="221">
        <f>'Indicateurs économiques - Citeo'!L139</f>
        <v>188</v>
      </c>
      <c r="J139" s="221">
        <f>'Indicateurs économiques - Citeo'!M139</f>
        <v>158</v>
      </c>
      <c r="K139" s="220">
        <f>'Indicateurs économiques - Citeo'!N139</f>
        <v>200.3</v>
      </c>
      <c r="L139" s="220">
        <f>'Indicateurs économiques - Citeo'!O139</f>
        <v>202.3</v>
      </c>
      <c r="M139" s="480">
        <f>'Indicateurs économiques - Citeo'!P139</f>
        <v>118.1</v>
      </c>
      <c r="N139" s="205">
        <f>'Indicateurs économiques - Citeo'!Q139</f>
        <v>236.85551988395193</v>
      </c>
      <c r="O139" s="36"/>
    </row>
    <row r="140" spans="2:15">
      <c r="B140" s="161"/>
      <c r="C140" s="162"/>
      <c r="E140" s="163"/>
      <c r="G140" s="163"/>
      <c r="H140" s="163"/>
      <c r="I140" s="223"/>
      <c r="J140" s="223"/>
      <c r="K140" s="163"/>
      <c r="L140" s="163"/>
      <c r="M140" s="163"/>
      <c r="N140" s="163"/>
      <c r="O140" s="36"/>
    </row>
    <row r="141" spans="2:15">
      <c r="B141" s="161" t="s">
        <v>319</v>
      </c>
      <c r="E141" s="36"/>
      <c r="G141" s="224" t="s">
        <v>467</v>
      </c>
      <c r="H141" s="224" t="s">
        <v>468</v>
      </c>
      <c r="I141" s="224" t="s">
        <v>469</v>
      </c>
      <c r="J141" s="224" t="s">
        <v>470</v>
      </c>
      <c r="K141" s="225"/>
      <c r="L141" s="36"/>
      <c r="M141" s="36"/>
      <c r="N141" s="36"/>
      <c r="O141" s="36"/>
    </row>
    <row r="142" spans="2:15">
      <c r="B142" s="161" t="s">
        <v>210</v>
      </c>
      <c r="E142" s="36"/>
      <c r="G142" s="226">
        <f>AVERAGE(G130:J130)</f>
        <v>92.361750000000001</v>
      </c>
      <c r="H142" s="226">
        <f>AVERAGE(H130:K130)</f>
        <v>92.227249999999998</v>
      </c>
      <c r="I142" s="227">
        <f>AVERAGE(I130:L130)</f>
        <v>82.037710046306742</v>
      </c>
      <c r="J142" s="227">
        <f>AVERAGE(J130:M130)</f>
        <v>65.429840485133028</v>
      </c>
      <c r="K142" s="36"/>
      <c r="L142" s="36"/>
      <c r="M142" s="36"/>
      <c r="N142" s="36"/>
      <c r="O142" s="36"/>
    </row>
    <row r="143" spans="2:15">
      <c r="B143" s="161" t="s">
        <v>211</v>
      </c>
      <c r="E143" s="36"/>
      <c r="G143" s="226">
        <f t="shared" ref="G143:J150" si="1">AVERAGE(G131:J131)</f>
        <v>7.9666666666666659</v>
      </c>
      <c r="H143" s="226">
        <f t="shared" si="1"/>
        <v>8.6499999999999986</v>
      </c>
      <c r="I143" s="227">
        <f t="shared" si="1"/>
        <v>9.1499999999999986</v>
      </c>
      <c r="J143" s="227">
        <f t="shared" si="1"/>
        <v>9.1499999999999986</v>
      </c>
      <c r="K143" s="36"/>
      <c r="L143" s="36"/>
      <c r="M143" s="36"/>
      <c r="N143" s="36"/>
      <c r="O143" s="36"/>
    </row>
    <row r="144" spans="2:15">
      <c r="B144" s="161" t="s">
        <v>212</v>
      </c>
      <c r="E144" s="36"/>
      <c r="G144" s="226">
        <f t="shared" si="1"/>
        <v>203.46424999999999</v>
      </c>
      <c r="H144" s="226">
        <f t="shared" si="1"/>
        <v>186.06066666666666</v>
      </c>
      <c r="I144" s="227">
        <f>AVERAGE(I139:L139)</f>
        <v>187.14999999999998</v>
      </c>
      <c r="J144" s="227">
        <f>AVERAGE(J139:M139)</f>
        <v>169.67500000000001</v>
      </c>
      <c r="K144" s="36"/>
      <c r="L144" s="36"/>
      <c r="M144" s="36"/>
      <c r="N144" s="36"/>
      <c r="O144" s="36"/>
    </row>
    <row r="145" spans="2:15">
      <c r="B145" s="161" t="s">
        <v>218</v>
      </c>
      <c r="E145" s="36"/>
      <c r="G145" s="226">
        <f>AVERAGE(G133:J133)</f>
        <v>73</v>
      </c>
      <c r="H145" s="226">
        <f t="shared" si="1"/>
        <v>73</v>
      </c>
      <c r="I145" s="227">
        <f>AVERAGE(I139:L139)</f>
        <v>187.14999999999998</v>
      </c>
      <c r="J145" s="227">
        <f>AVERAGE(J139:M139)</f>
        <v>169.67500000000001</v>
      </c>
      <c r="K145" s="36"/>
      <c r="L145" s="36"/>
      <c r="M145" s="36"/>
      <c r="N145" s="36"/>
      <c r="O145" s="36"/>
    </row>
    <row r="146" spans="2:15">
      <c r="B146" s="161" t="s">
        <v>213</v>
      </c>
      <c r="E146" s="36"/>
      <c r="G146" s="226">
        <f t="shared" si="1"/>
        <v>459.55819999999994</v>
      </c>
      <c r="H146" s="226">
        <f t="shared" si="1"/>
        <v>471.02500000000003</v>
      </c>
      <c r="I146" s="227">
        <f t="shared" si="1"/>
        <v>467.47500000000002</v>
      </c>
      <c r="J146" s="227">
        <f t="shared" si="1"/>
        <v>450.97500000000002</v>
      </c>
      <c r="K146" s="36"/>
      <c r="L146" s="36"/>
      <c r="M146" s="36"/>
      <c r="N146" s="36"/>
      <c r="O146" s="36"/>
    </row>
    <row r="147" spans="2:15">
      <c r="B147" s="161" t="s">
        <v>214</v>
      </c>
      <c r="E147" s="36"/>
      <c r="G147" s="226">
        <f t="shared" si="1"/>
        <v>587.21894999999995</v>
      </c>
      <c r="H147" s="226">
        <f t="shared" si="1"/>
        <v>586.80819999999994</v>
      </c>
      <c r="I147" s="227">
        <f t="shared" si="1"/>
        <v>560.78319999999997</v>
      </c>
      <c r="J147" s="227">
        <f t="shared" si="1"/>
        <v>486.84999999999997</v>
      </c>
      <c r="K147" s="36"/>
      <c r="L147" s="36"/>
      <c r="M147" s="36"/>
      <c r="N147" s="36"/>
      <c r="O147" s="36"/>
    </row>
    <row r="148" spans="2:15">
      <c r="B148" s="161" t="s">
        <v>215</v>
      </c>
      <c r="E148" s="36"/>
      <c r="G148" s="226">
        <f t="shared" si="1"/>
        <v>108.308925</v>
      </c>
      <c r="H148" s="226">
        <f t="shared" si="1"/>
        <v>107.562175</v>
      </c>
      <c r="I148" s="227">
        <f t="shared" si="1"/>
        <v>106.63717499999998</v>
      </c>
      <c r="J148" s="227">
        <f t="shared" si="1"/>
        <v>107.97899999999998</v>
      </c>
      <c r="K148" s="36"/>
      <c r="L148" s="36"/>
      <c r="M148" s="36"/>
      <c r="N148" s="36"/>
      <c r="O148" s="36"/>
    </row>
    <row r="149" spans="2:15">
      <c r="B149" s="161" t="s">
        <v>216</v>
      </c>
      <c r="E149" s="36"/>
      <c r="G149" s="226">
        <f t="shared" si="1"/>
        <v>43.2209</v>
      </c>
      <c r="H149" s="226">
        <f t="shared" si="1"/>
        <v>43.045900000000003</v>
      </c>
      <c r="I149" s="227">
        <f t="shared" si="1"/>
        <v>39.295900000000003</v>
      </c>
      <c r="J149" s="227">
        <f t="shared" si="1"/>
        <v>35.577500000000001</v>
      </c>
      <c r="K149" s="36"/>
      <c r="L149" s="36"/>
      <c r="M149" s="36"/>
      <c r="N149" s="36"/>
      <c r="O149" s="36"/>
    </row>
    <row r="150" spans="2:15">
      <c r="B150" s="161" t="s">
        <v>217</v>
      </c>
      <c r="E150" s="36"/>
      <c r="G150" s="226">
        <f t="shared" si="1"/>
        <v>23.125</v>
      </c>
      <c r="H150" s="226">
        <f t="shared" si="1"/>
        <v>23.619999999999997</v>
      </c>
      <c r="I150" s="227">
        <f t="shared" si="1"/>
        <v>23.889999999999997</v>
      </c>
      <c r="J150" s="227">
        <f t="shared" si="1"/>
        <v>22.762499999999996</v>
      </c>
      <c r="K150" s="36"/>
      <c r="L150" s="36"/>
      <c r="M150" s="36"/>
      <c r="N150" s="36"/>
      <c r="O150" s="36"/>
    </row>
    <row r="151" spans="2:15">
      <c r="E151" s="36"/>
    </row>
    <row r="152" spans="2:15" ht="15" thickBot="1">
      <c r="B152" s="2"/>
      <c r="C152" s="2"/>
      <c r="D152" s="2"/>
      <c r="E152" s="2"/>
      <c r="F152" s="2"/>
    </row>
    <row r="153" spans="2:15" ht="18">
      <c r="B153" s="131" t="s">
        <v>7</v>
      </c>
      <c r="C153" s="139"/>
      <c r="D153" s="39" t="s">
        <v>0</v>
      </c>
      <c r="E153" s="421">
        <v>2020</v>
      </c>
      <c r="F153" s="132">
        <v>2021</v>
      </c>
    </row>
    <row r="154" spans="2:15">
      <c r="B154" s="133" t="s">
        <v>6</v>
      </c>
      <c r="C154" s="148"/>
      <c r="D154" s="43"/>
      <c r="E154" s="454">
        <v>2021</v>
      </c>
      <c r="F154" s="134">
        <v>2022</v>
      </c>
    </row>
    <row r="155" spans="2:15">
      <c r="B155" s="624" t="s">
        <v>477</v>
      </c>
      <c r="C155" s="625"/>
      <c r="D155" s="625"/>
      <c r="E155" s="625"/>
      <c r="F155" s="626"/>
    </row>
    <row r="156" spans="2:15">
      <c r="B156" s="161" t="s">
        <v>458</v>
      </c>
      <c r="C156" s="105" t="s">
        <v>123</v>
      </c>
      <c r="D156" s="43" t="s">
        <v>476</v>
      </c>
      <c r="E156" s="458">
        <f>($C136*J148*'Mise sur le marché'!P60)/1000</f>
        <v>6.9689191962769522E-4</v>
      </c>
      <c r="F156" s="157">
        <f>($C136*J148*'Mise sur le marché'!Q60)/1000</f>
        <v>7.4335852689657266E-4</v>
      </c>
    </row>
    <row r="157" spans="2:15">
      <c r="B157" s="161" t="s">
        <v>459</v>
      </c>
      <c r="C157" s="105" t="s">
        <v>123</v>
      </c>
      <c r="D157" s="43" t="s">
        <v>476</v>
      </c>
      <c r="E157" s="458">
        <f>($C134*J146*'Mise sur le marché'!P61)/1000</f>
        <v>4.016645612557698E-5</v>
      </c>
      <c r="F157" s="157">
        <f>($C134*J146*'Mise sur le marché'!Q61)/1000</f>
        <v>1.0471899618150126E-2</v>
      </c>
    </row>
    <row r="158" spans="2:15">
      <c r="B158" s="161" t="s">
        <v>460</v>
      </c>
      <c r="C158" s="105" t="s">
        <v>123</v>
      </c>
      <c r="D158" s="43" t="s">
        <v>476</v>
      </c>
      <c r="E158" s="458">
        <f>($C130*J142*('Mise sur le marché'!P64+'Mise sur le marché'!P65))/1000</f>
        <v>0.13349022083741174</v>
      </c>
      <c r="F158" s="157">
        <f>($C130*J142*('Mise sur le marché'!Q64+'Mise sur le marché'!Q65))/1000</f>
        <v>0.25726635608096809</v>
      </c>
    </row>
    <row r="159" spans="2:15">
      <c r="B159" s="161" t="s">
        <v>461</v>
      </c>
      <c r="C159" s="105" t="s">
        <v>123</v>
      </c>
      <c r="D159" s="43" t="s">
        <v>476</v>
      </c>
      <c r="E159" s="458">
        <f>($C131*J143*'Mise sur le marché'!P63)/1000</f>
        <v>0</v>
      </c>
      <c r="F159" s="157">
        <f>($C131*J143*'Mise sur le marché'!Q63)/1000</f>
        <v>0</v>
      </c>
    </row>
    <row r="160" spans="2:15">
      <c r="B160" s="161" t="s">
        <v>462</v>
      </c>
      <c r="C160" s="105" t="s">
        <v>123</v>
      </c>
      <c r="D160" s="43" t="s">
        <v>476</v>
      </c>
      <c r="E160" s="458">
        <f>($C132*J144*'Mise sur le marché'!P67)/1000</f>
        <v>4.4171601627489927E-4</v>
      </c>
      <c r="F160" s="157">
        <f>($C132*J144*'Mise sur le marché'!Q67)/1000</f>
        <v>5.7802962619026857E-2</v>
      </c>
    </row>
    <row r="161" spans="2:6">
      <c r="B161" s="161" t="s">
        <v>463</v>
      </c>
      <c r="C161" s="105" t="s">
        <v>123</v>
      </c>
      <c r="D161" s="43" t="s">
        <v>476</v>
      </c>
      <c r="E161" s="458">
        <f>($C133*J145*'Mise sur le marché'!P70)/1000</f>
        <v>1.1378118228172734E-2</v>
      </c>
      <c r="F161" s="157">
        <f>($C133*J145*'Mise sur le marché'!Q70)/1000</f>
        <v>6.1518939860767265E-2</v>
      </c>
    </row>
    <row r="162" spans="2:6">
      <c r="B162" s="161" t="s">
        <v>464</v>
      </c>
      <c r="C162" s="105" t="s">
        <v>123</v>
      </c>
      <c r="D162" s="43" t="s">
        <v>476</v>
      </c>
      <c r="E162" s="458">
        <f>($C137*J149*'Mise sur le marché'!P60)/1000</f>
        <v>2.9724640780012828E-4</v>
      </c>
      <c r="F162" s="157">
        <f>($C137*J149*'Mise sur le marché'!Q60)/1000</f>
        <v>3.1706588296452962E-4</v>
      </c>
    </row>
    <row r="163" spans="2:6">
      <c r="B163" s="161" t="s">
        <v>465</v>
      </c>
      <c r="C163" s="105" t="s">
        <v>123</v>
      </c>
      <c r="D163" s="43" t="s">
        <v>476</v>
      </c>
      <c r="E163" s="458">
        <f>($C135*J147*'Mise sur le marché'!P61)/1000</f>
        <v>5.1476838306436583E-5</v>
      </c>
      <c r="F163" s="157">
        <f>($C135*J147*'Mise sur le marché'!Q61)/1000</f>
        <v>1.3420658315471581E-2</v>
      </c>
    </row>
    <row r="164" spans="2:6">
      <c r="B164" s="161" t="s">
        <v>18</v>
      </c>
      <c r="C164" s="105" t="s">
        <v>123</v>
      </c>
      <c r="D164" s="43" t="s">
        <v>476</v>
      </c>
      <c r="E164" s="458">
        <f>($C138*J150*'Mise sur le marché'!P76)/1000</f>
        <v>5.8143488086176499E-5</v>
      </c>
      <c r="F164" s="157">
        <f>($C138*J150*'Mise sur le marché'!Q76)/1000</f>
        <v>1.4775777730904256E-2</v>
      </c>
    </row>
    <row r="165" spans="2:6">
      <c r="B165" s="161" t="s">
        <v>466</v>
      </c>
      <c r="C165" s="105" t="s">
        <v>123</v>
      </c>
      <c r="D165" s="43" t="s">
        <v>476</v>
      </c>
      <c r="E165" s="458">
        <f>SUM(E156:E164)</f>
        <v>0.14645398019180539</v>
      </c>
      <c r="F165" s="157">
        <f>SUM(F156:F164)</f>
        <v>0.41631701863514931</v>
      </c>
    </row>
  </sheetData>
  <sheetProtection algorithmName="SHA-512" hashValue="axRtsRFrZbKgFbC0shJlJawFmzqC6BnQQjKerNx2br2XcitUU0rOjg3aB2Vrluj7XE0Dl6uJdmzsxitApLThkQ==" saltValue="a8+hcUCoQE9YqKI9xE/9jA==" spinCount="100000" sheet="1" scenarios="1"/>
  <mergeCells count="11">
    <mergeCell ref="B155:F155"/>
    <mergeCell ref="B6:F6"/>
    <mergeCell ref="B20:F20"/>
    <mergeCell ref="B38:D38"/>
    <mergeCell ref="B73:F73"/>
    <mergeCell ref="B81:F81"/>
    <mergeCell ref="B128:D128"/>
    <mergeCell ref="B92:H92"/>
    <mergeCell ref="B106:F106"/>
    <mergeCell ref="B112:F112"/>
    <mergeCell ref="G128:N128"/>
  </mergeCells>
  <conditionalFormatting sqref="C74:C76 C82:C89 C94:C101 C107:C111 C121:C127 C10:C15">
    <cfRule type="cellIs" dxfId="110" priority="33" operator="equal">
      <formula>"EO"</formula>
    </cfRule>
  </conditionalFormatting>
  <conditionalFormatting sqref="C74:C76 C82:C89 C94:C101 C107:C111 C121:C127 C10:C15">
    <cfRule type="cellIs" dxfId="109" priority="32" operator="equal">
      <formula>"Calcul"</formula>
    </cfRule>
  </conditionalFormatting>
  <conditionalFormatting sqref="C74:C76 C82:C89 C94:C101 C107:C111 C121:C127 C10:C15">
    <cfRule type="cellIs" dxfId="108" priority="31" operator="equal">
      <formula>"SYDEREP"</formula>
    </cfRule>
  </conditionalFormatting>
  <conditionalFormatting sqref="C57:C67 C39:C52">
    <cfRule type="cellIs" dxfId="107" priority="30" operator="equal">
      <formula>"EO"</formula>
    </cfRule>
  </conditionalFormatting>
  <conditionalFormatting sqref="C57:C67 C39:C52">
    <cfRule type="cellIs" dxfId="106" priority="29" operator="equal">
      <formula>"Calcul"</formula>
    </cfRule>
  </conditionalFormatting>
  <conditionalFormatting sqref="C57:C67 C39:C52">
    <cfRule type="cellIs" dxfId="105" priority="28" operator="equal">
      <formula>"SYDEREP"</formula>
    </cfRule>
  </conditionalFormatting>
  <conditionalFormatting sqref="C21:C37">
    <cfRule type="cellIs" dxfId="104" priority="27" operator="equal">
      <formula>"EO"</formula>
    </cfRule>
  </conditionalFormatting>
  <conditionalFormatting sqref="C21:C37">
    <cfRule type="cellIs" dxfId="103" priority="26" operator="equal">
      <formula>"Calcul"</formula>
    </cfRule>
  </conditionalFormatting>
  <conditionalFormatting sqref="C21:C37">
    <cfRule type="cellIs" dxfId="102" priority="25" operator="equal">
      <formula>"SYDEREP"</formula>
    </cfRule>
  </conditionalFormatting>
  <conditionalFormatting sqref="C113:C120">
    <cfRule type="cellIs" dxfId="101" priority="24" operator="equal">
      <formula>"EO"</formula>
    </cfRule>
  </conditionalFormatting>
  <conditionalFormatting sqref="C113:C120">
    <cfRule type="cellIs" dxfId="100" priority="23" operator="equal">
      <formula>"Calcul"</formula>
    </cfRule>
  </conditionalFormatting>
  <conditionalFormatting sqref="C113:C120">
    <cfRule type="cellIs" dxfId="99" priority="22" operator="equal">
      <formula>"SYDEREP"</formula>
    </cfRule>
  </conditionalFormatting>
  <conditionalFormatting sqref="C53:C54">
    <cfRule type="cellIs" dxfId="98" priority="21" operator="equal">
      <formula>"EO"</formula>
    </cfRule>
  </conditionalFormatting>
  <conditionalFormatting sqref="C53:C54">
    <cfRule type="cellIs" dxfId="97" priority="20" operator="equal">
      <formula>"Calcul"</formula>
    </cfRule>
  </conditionalFormatting>
  <conditionalFormatting sqref="C53:C54">
    <cfRule type="cellIs" dxfId="96" priority="19" operator="equal">
      <formula>"SYDEREP"</formula>
    </cfRule>
  </conditionalFormatting>
  <conditionalFormatting sqref="C55:C56">
    <cfRule type="cellIs" dxfId="95" priority="18" operator="equal">
      <formula>"EO"</formula>
    </cfRule>
  </conditionalFormatting>
  <conditionalFormatting sqref="C55:C56">
    <cfRule type="cellIs" dxfId="94" priority="17" operator="equal">
      <formula>"Calcul"</formula>
    </cfRule>
  </conditionalFormatting>
  <conditionalFormatting sqref="C55:C56">
    <cfRule type="cellIs" dxfId="93" priority="16" operator="equal">
      <formula>"SYDEREP"</formula>
    </cfRule>
  </conditionalFormatting>
  <conditionalFormatting sqref="C68">
    <cfRule type="cellIs" dxfId="92" priority="15" operator="equal">
      <formula>"EO"</formula>
    </cfRule>
  </conditionalFormatting>
  <conditionalFormatting sqref="C68">
    <cfRule type="cellIs" dxfId="91" priority="14" operator="equal">
      <formula>"Calcul"</formula>
    </cfRule>
  </conditionalFormatting>
  <conditionalFormatting sqref="C68">
    <cfRule type="cellIs" dxfId="90" priority="13" operator="equal">
      <formula>"SYDEREP"</formula>
    </cfRule>
  </conditionalFormatting>
  <conditionalFormatting sqref="C8:C9">
    <cfRule type="cellIs" dxfId="89" priority="12" operator="equal">
      <formula>"EO"</formula>
    </cfRule>
  </conditionalFormatting>
  <conditionalFormatting sqref="C8:C9">
    <cfRule type="cellIs" dxfId="88" priority="11" operator="equal">
      <formula>"Calcul"</formula>
    </cfRule>
  </conditionalFormatting>
  <conditionalFormatting sqref="C8:C9">
    <cfRule type="cellIs" dxfId="87" priority="10" operator="equal">
      <formula>"SYDEREP"</formula>
    </cfRule>
  </conditionalFormatting>
  <conditionalFormatting sqref="C7">
    <cfRule type="cellIs" dxfId="86" priority="9" operator="equal">
      <formula>"EO"</formula>
    </cfRule>
  </conditionalFormatting>
  <conditionalFormatting sqref="C7">
    <cfRule type="cellIs" dxfId="85" priority="8" operator="equal">
      <formula>"Calcul"</formula>
    </cfRule>
  </conditionalFormatting>
  <conditionalFormatting sqref="C7">
    <cfRule type="cellIs" dxfId="84" priority="7" operator="equal">
      <formula>"SYDEREP"</formula>
    </cfRule>
  </conditionalFormatting>
  <conditionalFormatting sqref="C156:C163">
    <cfRule type="cellIs" dxfId="83" priority="6" operator="equal">
      <formula>"EO"</formula>
    </cfRule>
  </conditionalFormatting>
  <conditionalFormatting sqref="C156:C163">
    <cfRule type="cellIs" dxfId="82" priority="5" operator="equal">
      <formula>"Calcul"</formula>
    </cfRule>
  </conditionalFormatting>
  <conditionalFormatting sqref="C156:C163">
    <cfRule type="cellIs" dxfId="81" priority="4" operator="equal">
      <formula>"SYDEREP"</formula>
    </cfRule>
  </conditionalFormatting>
  <conditionalFormatting sqref="C164:C165">
    <cfRule type="cellIs" dxfId="80" priority="3" operator="equal">
      <formula>"EO"</formula>
    </cfRule>
  </conditionalFormatting>
  <conditionalFormatting sqref="C164:C165">
    <cfRule type="cellIs" dxfId="79" priority="2" operator="equal">
      <formula>"Calcul"</formula>
    </cfRule>
  </conditionalFormatting>
  <conditionalFormatting sqref="C164:C165">
    <cfRule type="cellIs" dxfId="78" priority="1" operator="equal">
      <formula>"SYDEREP"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AF519"/>
  <sheetViews>
    <sheetView zoomScale="80" zoomScaleNormal="80" workbookViewId="0"/>
  </sheetViews>
  <sheetFormatPr baseColWidth="10" defaultRowHeight="14.5"/>
  <cols>
    <col min="1" max="1" width="10.54296875" style="1"/>
    <col min="2" max="2" width="63.81640625" style="83" customWidth="1"/>
    <col min="3" max="3" width="17.453125" style="83" customWidth="1"/>
    <col min="4" max="4" width="6.453125" style="83" bestFit="1" customWidth="1"/>
    <col min="5" max="14" width="11.54296875" style="83"/>
    <col min="15" max="17" width="11.54296875" style="36"/>
    <col min="18" max="19" width="11.453125" style="1" customWidth="1"/>
    <col min="20" max="32" width="10.54296875" style="1"/>
  </cols>
  <sheetData>
    <row r="1" spans="2:19" s="1" customFormat="1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6"/>
    </row>
    <row r="2" spans="2:19" s="1" customFormat="1" ht="23">
      <c r="B2" s="37" t="s">
        <v>82</v>
      </c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2:19" s="1" customFormat="1" ht="1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9" s="1" customFormat="1" ht="18">
      <c r="B4" s="38" t="s">
        <v>7</v>
      </c>
      <c r="C4" s="39" t="s">
        <v>140</v>
      </c>
      <c r="D4" s="39" t="s">
        <v>0</v>
      </c>
      <c r="E4" s="40">
        <v>2009</v>
      </c>
      <c r="F4" s="40">
        <v>2010</v>
      </c>
      <c r="G4" s="40">
        <v>2011</v>
      </c>
      <c r="H4" s="40">
        <v>2012</v>
      </c>
      <c r="I4" s="40">
        <v>2013</v>
      </c>
      <c r="J4" s="40">
        <v>2014</v>
      </c>
      <c r="K4" s="40">
        <v>2015</v>
      </c>
      <c r="L4" s="40">
        <v>2016</v>
      </c>
      <c r="M4" s="40">
        <v>2017</v>
      </c>
      <c r="N4" s="40">
        <v>2018</v>
      </c>
      <c r="O4" s="40">
        <v>2019</v>
      </c>
      <c r="P4" s="434">
        <v>2020</v>
      </c>
      <c r="Q4" s="41">
        <v>2021</v>
      </c>
    </row>
    <row r="5" spans="2:19" s="1" customFormat="1">
      <c r="B5" s="42" t="s">
        <v>6</v>
      </c>
      <c r="C5" s="43"/>
      <c r="D5" s="43"/>
      <c r="E5" s="44">
        <v>2010</v>
      </c>
      <c r="F5" s="44">
        <v>2011</v>
      </c>
      <c r="G5" s="44">
        <v>2012</v>
      </c>
      <c r="H5" s="44">
        <v>2013</v>
      </c>
      <c r="I5" s="44">
        <v>2014</v>
      </c>
      <c r="J5" s="44">
        <v>2015</v>
      </c>
      <c r="K5" s="44">
        <v>2016</v>
      </c>
      <c r="L5" s="44">
        <v>2017</v>
      </c>
      <c r="M5" s="44">
        <v>2018</v>
      </c>
      <c r="N5" s="44">
        <v>2019</v>
      </c>
      <c r="O5" s="44">
        <v>2020</v>
      </c>
      <c r="P5" s="533">
        <v>2021</v>
      </c>
      <c r="Q5" s="45">
        <v>2022</v>
      </c>
    </row>
    <row r="6" spans="2:19" s="1" customFormat="1" ht="30" customHeight="1">
      <c r="B6" s="650" t="s">
        <v>47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2"/>
      <c r="Q6" s="653"/>
    </row>
    <row r="7" spans="2:19" s="1" customFormat="1">
      <c r="B7" s="46" t="s">
        <v>43</v>
      </c>
      <c r="C7" s="47" t="s">
        <v>141</v>
      </c>
      <c r="D7" s="43" t="s">
        <v>11</v>
      </c>
      <c r="E7" s="497">
        <f>'Mise sur le marché'!E16</f>
        <v>285.41244100160901</v>
      </c>
      <c r="F7" s="497">
        <f>'Mise sur le marché'!F16</f>
        <v>281.13583722377803</v>
      </c>
      <c r="G7" s="497">
        <f>'Mise sur le marché'!G16</f>
        <v>286.95983995466906</v>
      </c>
      <c r="H7" s="497">
        <f>'Mise sur le marché'!H16</f>
        <v>313.67513580303796</v>
      </c>
      <c r="I7" s="497">
        <f>'Mise sur le marché'!I16</f>
        <v>299.43525774536175</v>
      </c>
      <c r="J7" s="497">
        <f>'Mise sur le marché'!J16</f>
        <v>278.77891526357462</v>
      </c>
      <c r="K7" s="497">
        <f>'Mise sur le marché'!K16</f>
        <v>274.02595785750776</v>
      </c>
      <c r="L7" s="497">
        <f>'Mise sur le marché'!L16</f>
        <v>254.39222331007218</v>
      </c>
      <c r="M7" s="497">
        <f>'Mise sur le marché'!M16</f>
        <v>252.42663279992021</v>
      </c>
      <c r="N7" s="48">
        <f>'Mise sur le marché'!N16</f>
        <v>255.25091234674801</v>
      </c>
      <c r="O7" s="48">
        <f>'Mise sur le marché'!O16</f>
        <v>256.72750100000002</v>
      </c>
      <c r="P7" s="536">
        <f>'Mise sur le marché'!P16</f>
        <v>268.1216179999999</v>
      </c>
      <c r="Q7" s="49">
        <f>'Mise sur le marché'!Q16</f>
        <v>254.60954799999996</v>
      </c>
    </row>
    <row r="8" spans="2:19" s="1" customFormat="1">
      <c r="B8" s="46" t="s">
        <v>44</v>
      </c>
      <c r="C8" s="47" t="s">
        <v>123</v>
      </c>
      <c r="D8" s="43" t="s">
        <v>11</v>
      </c>
      <c r="E8" s="50">
        <f>SUM(E9:E13)</f>
        <v>323.29759999999982</v>
      </c>
      <c r="F8" s="50">
        <f t="shared" ref="F8:N8" si="0">SUM(F9:F13)</f>
        <v>323.6659499999999</v>
      </c>
      <c r="G8" s="50">
        <f t="shared" si="0"/>
        <v>336.07846321664965</v>
      </c>
      <c r="H8" s="50">
        <f t="shared" si="0"/>
        <v>329.79102099999977</v>
      </c>
      <c r="I8" s="50">
        <f t="shared" si="0"/>
        <v>319.80856099999971</v>
      </c>
      <c r="J8" s="50">
        <f t="shared" si="0"/>
        <v>318.47392824940562</v>
      </c>
      <c r="K8" s="50">
        <f t="shared" si="0"/>
        <v>320.81970919999941</v>
      </c>
      <c r="L8" s="50">
        <f t="shared" si="0"/>
        <v>330.32861299999945</v>
      </c>
      <c r="M8" s="50">
        <f t="shared" si="0"/>
        <v>334.33931690499963</v>
      </c>
      <c r="N8" s="50">
        <f t="shared" si="0"/>
        <v>316.215913</v>
      </c>
      <c r="O8" s="50">
        <f>SUM(O9:O13)</f>
        <v>318.15755000000001</v>
      </c>
      <c r="P8" s="546">
        <f>SUM(P9:P13)</f>
        <v>324.01222699999994</v>
      </c>
      <c r="Q8" s="51">
        <f>SUM(Q9:Q13)</f>
        <v>322.73959298245609</v>
      </c>
      <c r="R8" s="12"/>
    </row>
    <row r="9" spans="2:19" s="1" customFormat="1" ht="17.5">
      <c r="B9" s="52" t="s">
        <v>181</v>
      </c>
      <c r="C9" s="53" t="s">
        <v>141</v>
      </c>
      <c r="D9" s="43" t="s">
        <v>11</v>
      </c>
      <c r="E9" s="497">
        <f>'Collecte et tri'!E26</f>
        <v>90.364546999999803</v>
      </c>
      <c r="F9" s="497">
        <f>'Collecte et tri'!F26</f>
        <v>93.665949999999896</v>
      </c>
      <c r="G9" s="497">
        <f>'Collecte et tri'!G26</f>
        <v>95.444723999999837</v>
      </c>
      <c r="H9" s="497">
        <f>'Collecte et tri'!H26</f>
        <v>98.854710999999796</v>
      </c>
      <c r="I9" s="497">
        <f>'Collecte et tri'!I26</f>
        <v>101.91183299999989</v>
      </c>
      <c r="J9" s="497">
        <f>'Collecte et tri'!J26</f>
        <v>99.375330999999846</v>
      </c>
      <c r="K9" s="497">
        <f>'Collecte et tri'!K26</f>
        <v>99.649917999999801</v>
      </c>
      <c r="L9" s="497">
        <f>'Collecte et tri'!L26</f>
        <v>104.14478999999977</v>
      </c>
      <c r="M9" s="497">
        <f>'Collecte et tri'!M26</f>
        <v>105.06440699999987</v>
      </c>
      <c r="N9" s="48">
        <f>'Collecte et tri'!N26</f>
        <v>102.48231699999999</v>
      </c>
      <c r="O9" s="48">
        <f>'Collecte et tri'!O26</f>
        <v>106.03128</v>
      </c>
      <c r="P9" s="536">
        <f>'Collecte et tri'!P26</f>
        <v>110.76048999999993</v>
      </c>
      <c r="Q9" s="49">
        <f>'Collecte et tri'!Q26</f>
        <v>112.22945999999995</v>
      </c>
    </row>
    <row r="10" spans="2:19" s="1" customFormat="1" ht="17.5">
      <c r="B10" s="52" t="s">
        <v>183</v>
      </c>
      <c r="C10" s="53" t="s">
        <v>289</v>
      </c>
      <c r="D10" s="43" t="s">
        <v>11</v>
      </c>
      <c r="E10" s="54"/>
      <c r="F10" s="54"/>
      <c r="G10" s="54"/>
      <c r="H10" s="55"/>
      <c r="I10" s="56"/>
      <c r="J10" s="56"/>
      <c r="K10" s="56"/>
      <c r="L10" s="57">
        <v>0</v>
      </c>
      <c r="M10" s="57">
        <v>0.16500000000000001</v>
      </c>
      <c r="N10" s="58">
        <v>0.136072</v>
      </c>
      <c r="O10" s="58">
        <v>0.17877999999999999</v>
      </c>
      <c r="P10" s="536">
        <v>9.7656999999999994E-2</v>
      </c>
      <c r="Q10" s="49">
        <v>0.15719298245614</v>
      </c>
      <c r="R10" s="34"/>
      <c r="S10" s="25"/>
    </row>
    <row r="11" spans="2:19" s="1" customFormat="1" ht="17.5">
      <c r="B11" s="52" t="s">
        <v>184</v>
      </c>
      <c r="C11" s="53" t="s">
        <v>289</v>
      </c>
      <c r="D11" s="43" t="s">
        <v>11</v>
      </c>
      <c r="E11" s="54"/>
      <c r="F11" s="54"/>
      <c r="G11" s="54"/>
      <c r="H11" s="55"/>
      <c r="I11" s="56"/>
      <c r="J11" s="56"/>
      <c r="K11" s="56"/>
      <c r="L11" s="56"/>
      <c r="M11" s="59"/>
      <c r="N11" s="60"/>
      <c r="O11" s="60"/>
      <c r="P11" s="547"/>
      <c r="Q11" s="520"/>
    </row>
    <row r="12" spans="2:19" s="1" customFormat="1" ht="17.5">
      <c r="B12" s="52" t="s">
        <v>185</v>
      </c>
      <c r="C12" s="53" t="s">
        <v>289</v>
      </c>
      <c r="D12" s="43" t="s">
        <v>11</v>
      </c>
      <c r="E12" s="54"/>
      <c r="F12" s="54"/>
      <c r="G12" s="54"/>
      <c r="H12" s="55"/>
      <c r="I12" s="56"/>
      <c r="J12" s="56"/>
      <c r="K12" s="56"/>
      <c r="L12" s="57">
        <v>0</v>
      </c>
      <c r="M12" s="57">
        <v>6.4764000000000002E-2</v>
      </c>
      <c r="N12" s="58">
        <v>7.6E-3</v>
      </c>
      <c r="O12" s="58">
        <v>3.5000000000000003E-2</v>
      </c>
      <c r="P12" s="536">
        <v>2.8000000000000001E-2</v>
      </c>
      <c r="Q12" s="49">
        <v>0.03</v>
      </c>
    </row>
    <row r="13" spans="2:19" s="1" customFormat="1" ht="17.5">
      <c r="B13" s="52" t="s">
        <v>182</v>
      </c>
      <c r="C13" s="53" t="s">
        <v>141</v>
      </c>
      <c r="D13" s="43" t="s">
        <v>11</v>
      </c>
      <c r="E13" s="497">
        <f>'Collecte et tri'!E27</f>
        <v>232.933053</v>
      </c>
      <c r="F13" s="497">
        <f>'Collecte et tri'!F27</f>
        <v>230</v>
      </c>
      <c r="G13" s="497">
        <f>'Collecte et tri'!G27</f>
        <v>240.63373921664981</v>
      </c>
      <c r="H13" s="497">
        <f>'Collecte et tri'!H27</f>
        <v>230.93630999999999</v>
      </c>
      <c r="I13" s="497">
        <f>'Collecte et tri'!I27</f>
        <v>217.89672799999985</v>
      </c>
      <c r="J13" s="497">
        <f>'Collecte et tri'!J27</f>
        <v>219.09859724940577</v>
      </c>
      <c r="K13" s="497">
        <f>'Collecte et tri'!K27</f>
        <v>221.16979119999962</v>
      </c>
      <c r="L13" s="497">
        <f>'Collecte et tri'!L27</f>
        <v>226.18382299999971</v>
      </c>
      <c r="M13" s="497">
        <f>'Collecte et tri'!M27</f>
        <v>229.04514590499974</v>
      </c>
      <c r="N13" s="48">
        <f>'Collecte et tri'!N27</f>
        <v>213.58992400000002</v>
      </c>
      <c r="O13" s="48">
        <f>'Collecte et tri'!O27</f>
        <v>211.91248999999999</v>
      </c>
      <c r="P13" s="536">
        <f>'Collecte et tri'!P27</f>
        <v>213.12608000000003</v>
      </c>
      <c r="Q13" s="49">
        <f>'Collecte et tri'!Q27</f>
        <v>210.32293999999999</v>
      </c>
    </row>
    <row r="14" spans="2:19" s="1" customFormat="1" ht="15" thickBot="1">
      <c r="B14" s="61" t="s">
        <v>5</v>
      </c>
      <c r="C14" s="62" t="s">
        <v>123</v>
      </c>
      <c r="D14" s="63" t="s">
        <v>3</v>
      </c>
      <c r="E14" s="64">
        <f>E8/E7</f>
        <v>1.1327382887215391</v>
      </c>
      <c r="F14" s="64">
        <f>F8/F7</f>
        <v>1.1512795849728998</v>
      </c>
      <c r="G14" s="64">
        <f>G8/G7</f>
        <v>1.1711689805435486</v>
      </c>
      <c r="H14" s="64">
        <f>H8/H7</f>
        <v>1.0513776304127633</v>
      </c>
      <c r="I14" s="64">
        <f t="shared" ref="I14:N14" si="1">I8/I7</f>
        <v>1.0680390926841465</v>
      </c>
      <c r="J14" s="64">
        <f t="shared" si="1"/>
        <v>1.1423888637643234</v>
      </c>
      <c r="K14" s="64">
        <f t="shared" si="1"/>
        <v>1.1707639367757421</v>
      </c>
      <c r="L14" s="64">
        <f t="shared" si="1"/>
        <v>1.2985012226469295</v>
      </c>
      <c r="M14" s="64">
        <f t="shared" si="1"/>
        <v>1.324500957749595</v>
      </c>
      <c r="N14" s="64">
        <f t="shared" si="1"/>
        <v>1.2388434191781987</v>
      </c>
      <c r="O14" s="64">
        <f>O8/O7</f>
        <v>1.2392811395768621</v>
      </c>
      <c r="P14" s="438">
        <f>P8/P7</f>
        <v>1.2084524530953713</v>
      </c>
      <c r="Q14" s="65">
        <f>Q8/Q7</f>
        <v>1.2675863710439332</v>
      </c>
    </row>
    <row r="15" spans="2:19" s="1" customFormat="1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2:19" s="1" customFormat="1" ht="1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2:19" s="1" customFormat="1" ht="18">
      <c r="B17" s="38" t="s">
        <v>7</v>
      </c>
      <c r="C17" s="66"/>
      <c r="D17" s="39" t="s">
        <v>0</v>
      </c>
      <c r="E17" s="40">
        <v>2009</v>
      </c>
      <c r="F17" s="40">
        <v>2010</v>
      </c>
      <c r="G17" s="40">
        <v>2011</v>
      </c>
      <c r="H17" s="40">
        <v>2012</v>
      </c>
      <c r="I17" s="40">
        <v>2013</v>
      </c>
      <c r="J17" s="40">
        <v>2014</v>
      </c>
      <c r="K17" s="40">
        <v>2015</v>
      </c>
      <c r="L17" s="40">
        <v>2016</v>
      </c>
      <c r="M17" s="40">
        <v>2017</v>
      </c>
      <c r="N17" s="40">
        <v>2018</v>
      </c>
      <c r="O17" s="40">
        <v>2019</v>
      </c>
      <c r="P17" s="434">
        <v>2020</v>
      </c>
      <c r="Q17" s="41">
        <v>2021</v>
      </c>
    </row>
    <row r="18" spans="2:19" s="1" customFormat="1">
      <c r="B18" s="42" t="s">
        <v>6</v>
      </c>
      <c r="C18" s="67"/>
      <c r="D18" s="43"/>
      <c r="E18" s="44">
        <v>2010</v>
      </c>
      <c r="F18" s="44">
        <v>2011</v>
      </c>
      <c r="G18" s="44">
        <v>2012</v>
      </c>
      <c r="H18" s="44">
        <v>2013</v>
      </c>
      <c r="I18" s="44">
        <v>2014</v>
      </c>
      <c r="J18" s="44">
        <v>2015</v>
      </c>
      <c r="K18" s="44">
        <v>2016</v>
      </c>
      <c r="L18" s="44">
        <v>2017</v>
      </c>
      <c r="M18" s="44">
        <v>2018</v>
      </c>
      <c r="N18" s="44">
        <v>2019</v>
      </c>
      <c r="O18" s="44">
        <v>2020</v>
      </c>
      <c r="P18" s="533">
        <v>2021</v>
      </c>
      <c r="Q18" s="45">
        <v>2022</v>
      </c>
    </row>
    <row r="19" spans="2:19" s="1" customFormat="1" ht="30" customHeight="1">
      <c r="B19" s="650" t="s">
        <v>65</v>
      </c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2"/>
      <c r="Q19" s="653"/>
    </row>
    <row r="20" spans="2:19" s="1" customFormat="1" ht="17.5">
      <c r="B20" s="52" t="s">
        <v>61</v>
      </c>
      <c r="C20" s="53" t="s">
        <v>289</v>
      </c>
      <c r="D20" s="43" t="s">
        <v>3</v>
      </c>
      <c r="E20" s="68"/>
      <c r="F20" s="68"/>
      <c r="G20" s="68"/>
      <c r="H20" s="69"/>
      <c r="I20" s="56"/>
      <c r="J20" s="56"/>
      <c r="K20" s="70">
        <v>0.31</v>
      </c>
      <c r="L20" s="70">
        <v>0.31</v>
      </c>
      <c r="M20" s="70">
        <v>0.32</v>
      </c>
      <c r="N20" s="71">
        <v>0.32</v>
      </c>
      <c r="O20" s="71">
        <v>0.33</v>
      </c>
      <c r="P20" s="534">
        <v>0.34899999999999998</v>
      </c>
      <c r="Q20" s="524">
        <v>0.372</v>
      </c>
    </row>
    <row r="21" spans="2:19" s="1" customFormat="1" ht="17.5">
      <c r="B21" s="52" t="s">
        <v>62</v>
      </c>
      <c r="C21" s="53" t="s">
        <v>289</v>
      </c>
      <c r="D21" s="43" t="s">
        <v>3</v>
      </c>
      <c r="E21" s="68"/>
      <c r="F21" s="68"/>
      <c r="G21" s="68"/>
      <c r="H21" s="69"/>
      <c r="I21" s="56"/>
      <c r="J21" s="56"/>
      <c r="K21" s="70">
        <v>0.64</v>
      </c>
      <c r="L21" s="70">
        <v>0.63</v>
      </c>
      <c r="M21" s="70">
        <v>0.62</v>
      </c>
      <c r="N21" s="71">
        <v>0.62</v>
      </c>
      <c r="O21" s="71">
        <v>0.61</v>
      </c>
      <c r="P21" s="534">
        <v>0.60199999999999998</v>
      </c>
      <c r="Q21" s="524">
        <v>0.57299999999999995</v>
      </c>
    </row>
    <row r="22" spans="2:19" s="1" customFormat="1" ht="17.5">
      <c r="B22" s="52" t="s">
        <v>63</v>
      </c>
      <c r="C22" s="53" t="s">
        <v>289</v>
      </c>
      <c r="D22" s="43" t="s">
        <v>3</v>
      </c>
      <c r="E22" s="68"/>
      <c r="F22" s="68"/>
      <c r="G22" s="68"/>
      <c r="H22" s="69"/>
      <c r="I22" s="56"/>
      <c r="J22" s="56"/>
      <c r="K22" s="70">
        <v>0.05</v>
      </c>
      <c r="L22" s="70">
        <v>0.06</v>
      </c>
      <c r="M22" s="70">
        <v>0.06</v>
      </c>
      <c r="N22" s="71">
        <v>0.06</v>
      </c>
      <c r="O22" s="71">
        <v>0.06</v>
      </c>
      <c r="P22" s="534">
        <v>4.9000000000000002E-2</v>
      </c>
      <c r="Q22" s="524">
        <v>5.5E-2</v>
      </c>
      <c r="S22" s="20"/>
    </row>
    <row r="23" spans="2:19" s="1" customFormat="1">
      <c r="B23" s="46" t="s">
        <v>268</v>
      </c>
      <c r="C23" s="53" t="s">
        <v>289</v>
      </c>
      <c r="D23" s="43" t="s">
        <v>3</v>
      </c>
      <c r="E23" s="68"/>
      <c r="F23" s="68"/>
      <c r="G23" s="68"/>
      <c r="H23" s="69"/>
      <c r="I23" s="56"/>
      <c r="J23" s="56"/>
      <c r="K23" s="70">
        <f>1-(K24+K25)</f>
        <v>0.6</v>
      </c>
      <c r="L23" s="70">
        <f>1-(L24+L25)</f>
        <v>0.66999999999999993</v>
      </c>
      <c r="M23" s="70">
        <f>1-(M24+M25)</f>
        <v>0.62</v>
      </c>
      <c r="N23" s="71">
        <f>1-(N24+N25)</f>
        <v>0.64</v>
      </c>
      <c r="O23" s="71">
        <f>1-(O24+O25)</f>
        <v>0.59000000000000008</v>
      </c>
      <c r="P23" s="534">
        <v>0.58099999999999996</v>
      </c>
      <c r="Q23" s="524">
        <v>0.47099999999999997</v>
      </c>
    </row>
    <row r="24" spans="2:19" s="1" customFormat="1">
      <c r="B24" s="46" t="s">
        <v>64</v>
      </c>
      <c r="C24" s="53" t="s">
        <v>289</v>
      </c>
      <c r="D24" s="43" t="s">
        <v>3</v>
      </c>
      <c r="E24" s="68"/>
      <c r="F24" s="68"/>
      <c r="G24" s="68"/>
      <c r="H24" s="69"/>
      <c r="I24" s="56"/>
      <c r="J24" s="56"/>
      <c r="K24" s="70">
        <v>0.4</v>
      </c>
      <c r="L24" s="70">
        <v>0.33</v>
      </c>
      <c r="M24" s="70">
        <v>0.38</v>
      </c>
      <c r="N24" s="71">
        <v>0.36</v>
      </c>
      <c r="O24" s="71">
        <v>0.41</v>
      </c>
      <c r="P24" s="534">
        <v>0.41899999999999998</v>
      </c>
      <c r="Q24" s="524">
        <v>0.52900000000000003</v>
      </c>
      <c r="S24" s="20"/>
    </row>
    <row r="25" spans="2:19" s="1" customFormat="1">
      <c r="B25" s="46" t="s">
        <v>45</v>
      </c>
      <c r="C25" s="53" t="s">
        <v>289</v>
      </c>
      <c r="D25" s="43" t="s">
        <v>3</v>
      </c>
      <c r="E25" s="68"/>
      <c r="F25" s="68"/>
      <c r="G25" s="68"/>
      <c r="H25" s="69"/>
      <c r="I25" s="56"/>
      <c r="J25" s="56"/>
      <c r="K25" s="70">
        <v>0</v>
      </c>
      <c r="L25" s="70">
        <v>0</v>
      </c>
      <c r="M25" s="70">
        <v>0</v>
      </c>
      <c r="N25" s="71">
        <v>0</v>
      </c>
      <c r="O25" s="71">
        <v>0</v>
      </c>
      <c r="P25" s="534">
        <v>0</v>
      </c>
      <c r="Q25" s="524">
        <v>0</v>
      </c>
    </row>
    <row r="26" spans="2:19" s="1" customFormat="1">
      <c r="B26" s="46" t="s">
        <v>48</v>
      </c>
      <c r="C26" s="53" t="s">
        <v>289</v>
      </c>
      <c r="D26" s="43" t="s">
        <v>3</v>
      </c>
      <c r="E26" s="54"/>
      <c r="F26" s="54"/>
      <c r="G26" s="54"/>
      <c r="H26" s="55"/>
      <c r="I26" s="72"/>
      <c r="J26" s="72"/>
      <c r="K26" s="70">
        <v>0</v>
      </c>
      <c r="L26" s="70">
        <v>0</v>
      </c>
      <c r="M26" s="70">
        <v>0</v>
      </c>
      <c r="N26" s="71">
        <v>0</v>
      </c>
      <c r="O26" s="71">
        <v>0</v>
      </c>
      <c r="P26" s="534">
        <v>0.17</v>
      </c>
      <c r="Q26" s="524">
        <v>0</v>
      </c>
      <c r="S26" s="20"/>
    </row>
    <row r="27" spans="2:19" s="1" customFormat="1" ht="30" customHeight="1">
      <c r="B27" s="650" t="s">
        <v>60</v>
      </c>
      <c r="C27" s="651"/>
      <c r="D27" s="651"/>
      <c r="E27" s="651"/>
      <c r="F27" s="651"/>
      <c r="G27" s="651"/>
      <c r="H27" s="651"/>
      <c r="I27" s="651"/>
      <c r="J27" s="651"/>
      <c r="K27" s="651"/>
      <c r="L27" s="651"/>
      <c r="M27" s="651"/>
      <c r="N27" s="651"/>
      <c r="O27" s="651"/>
      <c r="P27" s="652"/>
      <c r="Q27" s="653"/>
      <c r="S27" s="26"/>
    </row>
    <row r="28" spans="2:19" s="1" customFormat="1" ht="17.5">
      <c r="B28" s="52" t="s">
        <v>61</v>
      </c>
      <c r="C28" s="53" t="s">
        <v>289</v>
      </c>
      <c r="D28" s="43" t="s">
        <v>3</v>
      </c>
      <c r="E28" s="68"/>
      <c r="F28" s="68"/>
      <c r="G28" s="68"/>
      <c r="H28" s="69"/>
      <c r="I28" s="56"/>
      <c r="J28" s="56"/>
      <c r="K28" s="70">
        <v>0.05</v>
      </c>
      <c r="L28" s="70">
        <v>0.03</v>
      </c>
      <c r="M28" s="71">
        <v>0.04</v>
      </c>
      <c r="N28" s="71">
        <v>0.01</v>
      </c>
      <c r="O28" s="73"/>
      <c r="P28" s="535"/>
      <c r="Q28" s="527"/>
    </row>
    <row r="29" spans="2:19" s="1" customFormat="1" ht="17.5">
      <c r="B29" s="52" t="s">
        <v>62</v>
      </c>
      <c r="C29" s="53" t="s">
        <v>289</v>
      </c>
      <c r="D29" s="43" t="s">
        <v>3</v>
      </c>
      <c r="E29" s="68"/>
      <c r="F29" s="68"/>
      <c r="G29" s="68"/>
      <c r="H29" s="69"/>
      <c r="I29" s="56"/>
      <c r="J29" s="56"/>
      <c r="K29" s="70">
        <v>0.36</v>
      </c>
      <c r="L29" s="70">
        <v>0.36</v>
      </c>
      <c r="M29" s="71">
        <v>0.3</v>
      </c>
      <c r="N29" s="71">
        <v>0.27</v>
      </c>
      <c r="O29" s="73"/>
      <c r="P29" s="535"/>
      <c r="Q29" s="527"/>
    </row>
    <row r="30" spans="2:19" s="1" customFormat="1" ht="17.5">
      <c r="B30" s="52" t="s">
        <v>63</v>
      </c>
      <c r="C30" s="53" t="s">
        <v>289</v>
      </c>
      <c r="D30" s="43" t="s">
        <v>3</v>
      </c>
      <c r="E30" s="68"/>
      <c r="F30" s="68"/>
      <c r="G30" s="68"/>
      <c r="H30" s="69"/>
      <c r="I30" s="56"/>
      <c r="J30" s="56"/>
      <c r="K30" s="70">
        <v>0.59</v>
      </c>
      <c r="L30" s="70">
        <v>0.61</v>
      </c>
      <c r="M30" s="71">
        <v>0.66</v>
      </c>
      <c r="N30" s="71">
        <v>0.72</v>
      </c>
      <c r="O30" s="73"/>
      <c r="P30" s="535"/>
      <c r="Q30" s="527"/>
    </row>
    <row r="31" spans="2:19" s="1" customFormat="1">
      <c r="B31" s="46" t="s">
        <v>268</v>
      </c>
      <c r="C31" s="53" t="s">
        <v>289</v>
      </c>
      <c r="D31" s="43" t="s">
        <v>3</v>
      </c>
      <c r="E31" s="68"/>
      <c r="F31" s="68"/>
      <c r="G31" s="68"/>
      <c r="H31" s="69"/>
      <c r="I31" s="56"/>
      <c r="J31" s="56"/>
      <c r="K31" s="70">
        <f>1-(K32+K33)</f>
        <v>0.94</v>
      </c>
      <c r="L31" s="70">
        <f>1-(L32+L33)</f>
        <v>0.92999999999999994</v>
      </c>
      <c r="M31" s="70">
        <f>1-(M32+M33)</f>
        <v>0.92</v>
      </c>
      <c r="N31" s="71">
        <f>1-(N32+N33)</f>
        <v>0.78</v>
      </c>
      <c r="O31" s="391">
        <f>1-(O32+O33)</f>
        <v>0.86</v>
      </c>
      <c r="P31" s="548">
        <v>0.72299999999999998</v>
      </c>
      <c r="Q31" s="525">
        <v>0.82599999999999996</v>
      </c>
    </row>
    <row r="32" spans="2:19" s="1" customFormat="1">
      <c r="B32" s="46" t="s">
        <v>64</v>
      </c>
      <c r="C32" s="53" t="s">
        <v>289</v>
      </c>
      <c r="D32" s="43" t="s">
        <v>3</v>
      </c>
      <c r="E32" s="68"/>
      <c r="F32" s="68"/>
      <c r="G32" s="68"/>
      <c r="H32" s="69"/>
      <c r="I32" s="56"/>
      <c r="J32" s="56"/>
      <c r="K32" s="70">
        <v>0.06</v>
      </c>
      <c r="L32" s="70">
        <v>7.0000000000000007E-2</v>
      </c>
      <c r="M32" s="70">
        <v>0.08</v>
      </c>
      <c r="N32" s="71">
        <v>0.22</v>
      </c>
      <c r="O32" s="391">
        <v>0.14000000000000001</v>
      </c>
      <c r="P32" s="548">
        <v>0.27700000000000002</v>
      </c>
      <c r="Q32" s="525">
        <v>0.17399999999999999</v>
      </c>
    </row>
    <row r="33" spans="2:18" s="1" customFormat="1">
      <c r="B33" s="46" t="s">
        <v>45</v>
      </c>
      <c r="C33" s="53" t="s">
        <v>289</v>
      </c>
      <c r="D33" s="43" t="s">
        <v>3</v>
      </c>
      <c r="E33" s="68"/>
      <c r="F33" s="68"/>
      <c r="G33" s="68"/>
      <c r="H33" s="69"/>
      <c r="I33" s="56"/>
      <c r="J33" s="56"/>
      <c r="K33" s="70">
        <v>0</v>
      </c>
      <c r="L33" s="70">
        <v>0</v>
      </c>
      <c r="M33" s="70">
        <v>0</v>
      </c>
      <c r="N33" s="71">
        <v>0</v>
      </c>
      <c r="O33" s="391">
        <v>0</v>
      </c>
      <c r="P33" s="548">
        <v>0</v>
      </c>
      <c r="Q33" s="525">
        <v>0</v>
      </c>
    </row>
    <row r="34" spans="2:18" s="1" customFormat="1" ht="15" thickBot="1">
      <c r="B34" s="75" t="s">
        <v>48</v>
      </c>
      <c r="C34" s="76" t="s">
        <v>289</v>
      </c>
      <c r="D34" s="77" t="s">
        <v>3</v>
      </c>
      <c r="E34" s="78"/>
      <c r="F34" s="78"/>
      <c r="G34" s="78"/>
      <c r="H34" s="79"/>
      <c r="I34" s="80"/>
      <c r="J34" s="80"/>
      <c r="K34" s="81">
        <v>0</v>
      </c>
      <c r="L34" s="81">
        <v>0</v>
      </c>
      <c r="M34" s="81">
        <v>0</v>
      </c>
      <c r="N34" s="82">
        <v>0</v>
      </c>
      <c r="O34" s="392">
        <v>0</v>
      </c>
      <c r="P34" s="522">
        <v>0</v>
      </c>
      <c r="Q34" s="526">
        <v>0</v>
      </c>
    </row>
    <row r="35" spans="2:18" s="1" customForma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84"/>
      <c r="O35" s="36"/>
      <c r="P35" s="36"/>
      <c r="Q35" s="36"/>
    </row>
    <row r="36" spans="2:18" s="1" customFormat="1" ht="15" thickBot="1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83"/>
      <c r="O36" s="36"/>
      <c r="P36" s="36"/>
      <c r="Q36" s="36"/>
      <c r="R36" s="17"/>
    </row>
    <row r="37" spans="2:18" s="1" customFormat="1" ht="18">
      <c r="B37" s="38" t="s">
        <v>7</v>
      </c>
      <c r="C37" s="66"/>
      <c r="D37" s="39" t="s">
        <v>0</v>
      </c>
      <c r="E37" s="40">
        <v>2009</v>
      </c>
      <c r="F37" s="40">
        <v>2010</v>
      </c>
      <c r="G37" s="40">
        <v>2011</v>
      </c>
      <c r="H37" s="40">
        <v>2012</v>
      </c>
      <c r="I37" s="40">
        <v>2013</v>
      </c>
      <c r="J37" s="40">
        <v>2014</v>
      </c>
      <c r="K37" s="40">
        <v>2015</v>
      </c>
      <c r="L37" s="40">
        <v>2016</v>
      </c>
      <c r="M37" s="40">
        <v>2017</v>
      </c>
      <c r="N37" s="40">
        <v>2018</v>
      </c>
      <c r="O37" s="40">
        <v>2019</v>
      </c>
      <c r="P37" s="434">
        <v>2020</v>
      </c>
      <c r="Q37" s="41">
        <v>2021</v>
      </c>
    </row>
    <row r="38" spans="2:18" s="1" customFormat="1">
      <c r="B38" s="42" t="s">
        <v>6</v>
      </c>
      <c r="C38" s="67"/>
      <c r="D38" s="43"/>
      <c r="E38" s="44">
        <v>2010</v>
      </c>
      <c r="F38" s="44">
        <v>2011</v>
      </c>
      <c r="G38" s="44">
        <v>2012</v>
      </c>
      <c r="H38" s="44">
        <v>2013</v>
      </c>
      <c r="I38" s="44">
        <v>2014</v>
      </c>
      <c r="J38" s="44">
        <v>2015</v>
      </c>
      <c r="K38" s="44">
        <v>2016</v>
      </c>
      <c r="L38" s="44">
        <v>2017</v>
      </c>
      <c r="M38" s="44">
        <v>2018</v>
      </c>
      <c r="N38" s="44">
        <v>2019</v>
      </c>
      <c r="O38" s="44">
        <v>2020</v>
      </c>
      <c r="P38" s="533">
        <v>2021</v>
      </c>
      <c r="Q38" s="45">
        <v>2022</v>
      </c>
    </row>
    <row r="39" spans="2:18" s="1" customFormat="1" ht="30" customHeight="1">
      <c r="B39" s="654" t="s">
        <v>46</v>
      </c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655"/>
      <c r="Q39" s="656"/>
    </row>
    <row r="40" spans="2:18" s="1" customFormat="1" ht="30.75" customHeight="1">
      <c r="B40" s="46" t="s">
        <v>192</v>
      </c>
      <c r="C40" s="53" t="s">
        <v>289</v>
      </c>
      <c r="D40" s="43" t="s">
        <v>9</v>
      </c>
      <c r="E40" s="104">
        <f>'Mise sur le marché'!E93</f>
        <v>11.369370610185999</v>
      </c>
      <c r="F40" s="104">
        <f>'Mise sur le marché'!F93</f>
        <v>13.753</v>
      </c>
      <c r="G40" s="104">
        <f>'Mise sur le marché'!G93</f>
        <v>15</v>
      </c>
      <c r="H40" s="104">
        <f>'Mise sur le marché'!H93</f>
        <v>21</v>
      </c>
      <c r="I40" s="104">
        <f>'Mise sur le marché'!I93</f>
        <v>20</v>
      </c>
      <c r="J40" s="104">
        <f>'Mise sur le marché'!J93</f>
        <v>19.207616847600914</v>
      </c>
      <c r="K40" s="104">
        <f>'Mise sur le marché'!K93</f>
        <v>18</v>
      </c>
      <c r="L40" s="104">
        <f>'Mise sur le marché'!L93</f>
        <v>16</v>
      </c>
      <c r="M40" s="104">
        <f>'Mise sur le marché'!M93</f>
        <v>7.9237847896359428</v>
      </c>
      <c r="N40" s="104">
        <f>'Mise sur le marché'!N93</f>
        <v>11.096110754534054</v>
      </c>
      <c r="O40" s="74">
        <f>'Mise sur le marché'!O93</f>
        <v>11.142832562489909</v>
      </c>
      <c r="P40" s="543">
        <f>'Mise sur le marché'!P93</f>
        <v>11.68534970813533</v>
      </c>
      <c r="Q40" s="529">
        <f>'Mise sur le marché'!Q93</f>
        <v>11.5135067975</v>
      </c>
    </row>
    <row r="41" spans="2:18" s="1" customFormat="1">
      <c r="B41" s="87" t="s">
        <v>66</v>
      </c>
      <c r="C41" s="105" t="s">
        <v>123</v>
      </c>
      <c r="D41" s="106" t="s">
        <v>2</v>
      </c>
      <c r="E41" s="109">
        <f t="shared" ref="E41:Q41" si="2">E40/E7*1000</f>
        <v>39.834880954337606</v>
      </c>
      <c r="F41" s="109">
        <f t="shared" si="2"/>
        <v>48.91941253669809</v>
      </c>
      <c r="G41" s="109">
        <f t="shared" si="2"/>
        <v>52.272122825164466</v>
      </c>
      <c r="H41" s="109">
        <f t="shared" si="2"/>
        <v>66.948245503227469</v>
      </c>
      <c r="I41" s="109">
        <f t="shared" si="2"/>
        <v>66.792401638313081</v>
      </c>
      <c r="J41" s="109">
        <f t="shared" si="2"/>
        <v>68.89910174677614</v>
      </c>
      <c r="K41" s="109">
        <f t="shared" si="2"/>
        <v>65.687207667238283</v>
      </c>
      <c r="L41" s="109">
        <f t="shared" si="2"/>
        <v>62.89500438265366</v>
      </c>
      <c r="M41" s="109">
        <f t="shared" si="2"/>
        <v>31.390446807237396</v>
      </c>
      <c r="N41" s="109">
        <f t="shared" si="2"/>
        <v>43.471385283279375</v>
      </c>
      <c r="O41" s="109">
        <f t="shared" si="2"/>
        <v>43.403346034556343</v>
      </c>
      <c r="P41" s="544">
        <f t="shared" ref="P41" si="3">P40/P7*1000</f>
        <v>43.582273579056704</v>
      </c>
      <c r="Q41" s="89">
        <f t="shared" si="2"/>
        <v>45.220247582781155</v>
      </c>
    </row>
    <row r="42" spans="2:18" s="1" customFormat="1" ht="45" customHeight="1">
      <c r="B42" s="46" t="s">
        <v>75</v>
      </c>
      <c r="C42" s="53" t="s">
        <v>289</v>
      </c>
      <c r="D42" s="549" t="s">
        <v>9</v>
      </c>
      <c r="E42" s="74">
        <v>11.626896390000001</v>
      </c>
      <c r="F42" s="74">
        <v>11.956</v>
      </c>
      <c r="G42" s="74">
        <v>12</v>
      </c>
      <c r="H42" s="74">
        <v>16.399999999999999</v>
      </c>
      <c r="I42" s="74">
        <v>14</v>
      </c>
      <c r="J42" s="74">
        <v>12.600000000000001</v>
      </c>
      <c r="K42" s="74">
        <v>12.6</v>
      </c>
      <c r="L42" s="74">
        <v>12.805112939999999</v>
      </c>
      <c r="M42" s="74">
        <v>13.64</v>
      </c>
      <c r="N42" s="74">
        <v>13.5</v>
      </c>
      <c r="O42" s="74">
        <v>9.5037675605978897</v>
      </c>
      <c r="P42" s="543">
        <v>9.8547403761272783</v>
      </c>
      <c r="Q42" s="529">
        <v>10.199576912112327</v>
      </c>
    </row>
    <row r="43" spans="2:18" s="1" customFormat="1">
      <c r="B43" s="87" t="s">
        <v>67</v>
      </c>
      <c r="C43" s="105" t="s">
        <v>123</v>
      </c>
      <c r="D43" s="106" t="s">
        <v>2</v>
      </c>
      <c r="E43" s="109">
        <f t="shared" ref="E43:Q43" si="4">E42/E7*1000</f>
        <v>40.737174417475565</v>
      </c>
      <c r="F43" s="109">
        <f t="shared" si="4"/>
        <v>42.52748464253343</v>
      </c>
      <c r="G43" s="109">
        <f t="shared" si="4"/>
        <v>41.817698260131579</v>
      </c>
      <c r="H43" s="109">
        <f t="shared" si="4"/>
        <v>52.283391726330017</v>
      </c>
      <c r="I43" s="109">
        <f t="shared" si="4"/>
        <v>46.754681146819152</v>
      </c>
      <c r="J43" s="109">
        <f t="shared" si="4"/>
        <v>45.197105340937249</v>
      </c>
      <c r="K43" s="109">
        <f t="shared" si="4"/>
        <v>45.981045367066798</v>
      </c>
      <c r="L43" s="109">
        <f t="shared" si="4"/>
        <v>50.33610215510469</v>
      </c>
      <c r="M43" s="109">
        <f t="shared" si="4"/>
        <v>54.035502707083261</v>
      </c>
      <c r="N43" s="109">
        <f t="shared" si="4"/>
        <v>52.88913514895021</v>
      </c>
      <c r="O43" s="109">
        <f>O42/O7*1000</f>
        <v>37.018891718179773</v>
      </c>
      <c r="P43" s="544">
        <f t="shared" ref="P43" si="5">P42/P7*1000</f>
        <v>36.754740067722857</v>
      </c>
      <c r="Q43" s="89">
        <f t="shared" si="4"/>
        <v>40.059679584806176</v>
      </c>
    </row>
    <row r="44" spans="2:18" s="1" customFormat="1">
      <c r="B44" s="46" t="s">
        <v>51</v>
      </c>
      <c r="C44" s="53" t="s">
        <v>289</v>
      </c>
      <c r="D44" s="43" t="s">
        <v>2</v>
      </c>
      <c r="E44" s="110">
        <v>69</v>
      </c>
      <c r="F44" s="110">
        <v>120</v>
      </c>
      <c r="G44" s="110">
        <v>177</v>
      </c>
      <c r="H44" s="110">
        <v>173</v>
      </c>
      <c r="I44" s="110">
        <v>148</v>
      </c>
      <c r="J44" s="110">
        <v>134.19999999999999</v>
      </c>
      <c r="K44" s="545">
        <f>'Indicateurs économiques - Citeo'!K136</f>
        <v>109.2</v>
      </c>
      <c r="L44" s="545">
        <f>'Indicateurs économiques - Citeo'!L136</f>
        <v>81.532700000000006</v>
      </c>
      <c r="M44" s="545">
        <f>'Indicateurs économiques - Citeo'!M136</f>
        <v>108.31599999999997</v>
      </c>
      <c r="N44" s="545">
        <f>'Indicateurs économiques - Citeo'!N136</f>
        <v>131.19999999999999</v>
      </c>
      <c r="O44" s="545">
        <f>'Indicateurs économiques - Citeo'!O136</f>
        <v>105.5</v>
      </c>
      <c r="P44" s="545">
        <f>'Indicateurs économiques - Citeo'!P136</f>
        <v>86.9</v>
      </c>
      <c r="Q44" s="529">
        <f>'Indicateurs économiques - Citeo'!Q136</f>
        <v>186.24603371001689</v>
      </c>
    </row>
    <row r="45" spans="2:18" s="1" customFormat="1" ht="15" thickBot="1">
      <c r="B45" s="75" t="s">
        <v>52</v>
      </c>
      <c r="C45" s="76" t="s">
        <v>289</v>
      </c>
      <c r="D45" s="77" t="s">
        <v>2</v>
      </c>
      <c r="E45" s="90">
        <v>24</v>
      </c>
      <c r="F45" s="90">
        <v>57</v>
      </c>
      <c r="G45" s="90">
        <v>73</v>
      </c>
      <c r="H45" s="90">
        <v>78</v>
      </c>
      <c r="I45" s="90">
        <v>72</v>
      </c>
      <c r="J45" s="90">
        <v>56.7</v>
      </c>
      <c r="K45" s="482">
        <f>'Indicateurs économiques - Citeo'!K137</f>
        <v>47.3</v>
      </c>
      <c r="L45" s="482">
        <f>'Indicateurs économiques - Citeo'!L137</f>
        <v>30.273599999999998</v>
      </c>
      <c r="M45" s="482">
        <f>'Indicateurs économiques - Citeo'!M137</f>
        <v>38.61</v>
      </c>
      <c r="N45" s="482">
        <f>'Indicateurs économiques - Citeo'!N137</f>
        <v>56</v>
      </c>
      <c r="O45" s="482">
        <f>'Indicateurs économiques - Citeo'!O137</f>
        <v>32.299999999999997</v>
      </c>
      <c r="P45" s="482">
        <f>'Indicateurs économiques - Citeo'!P137</f>
        <v>15.4</v>
      </c>
      <c r="Q45" s="530">
        <f>'Indicateurs économiques - Citeo'!Q137</f>
        <v>98.6</v>
      </c>
    </row>
    <row r="46" spans="2:18" s="1" customFormat="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2:18" s="1" customFormat="1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2:18" s="1" customForma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2:17" s="1" customFormat="1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2:17" s="1" customFormat="1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2:17" s="1" customFormat="1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2:17" s="1" customFormat="1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2:17" s="1" customFormat="1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2:17" s="1" customFormat="1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2:17" s="1" customFormat="1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2:17" s="1" customFormat="1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2:17" s="1" customForma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2:17" s="1" customFormat="1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2:17" s="1" customFormat="1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2:17" s="1" customFormat="1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2:17" s="1" customFormat="1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2:17" s="1" customFormat="1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2:17" s="1" customFormat="1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2:17" s="1" customFormat="1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2:17" s="1" customFormat="1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2:17" s="1" customFormat="1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2:17" s="1" customFormat="1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2:17" s="1" customFormat="1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2:17" s="1" customFormat="1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2:17" s="1" customForma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2:17" s="1" customFormat="1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2:17" s="1" customFormat="1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2:17" s="1" customFormat="1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2:17" s="1" customFormat="1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2:17" s="1" customFormat="1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2:17" s="1" customFormat="1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2:17" s="1" customFormat="1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2:17" s="1" customFormat="1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2:17" s="1" customFormat="1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2:17" s="1" customFormat="1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2:17" s="1" customFormat="1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2:17" s="1" customFormat="1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2:17" s="1" customForma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2:17" s="1" customFormat="1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2:17" s="1" customForma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2:17" s="1" customFormat="1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2:17" s="1" customFormat="1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2:17" s="1" customFormat="1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2:17" s="1" customFormat="1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2:17" s="1" customFormat="1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2:17" s="1" customFormat="1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2:17" s="1" customFormat="1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2:17" s="1" customFormat="1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2:17" s="1" customFormat="1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2:17" s="1" customFormat="1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2:17" s="1" customFormat="1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2:17" s="1" customFormat="1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2:17" s="1" customFormat="1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2:17" s="1" customFormat="1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2:17" s="1" customForma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2:17" s="1" customForma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2:17" s="1" customForma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2:17" s="1" customForma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2:17" s="1" customForma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2:17" s="1" customForma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2:17" s="1" customForma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2:17" s="1" customForma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2:17" s="1" customForma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2:17" s="1" customForma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2:17" s="1" customForma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2:17" s="1" customForma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2:17" s="1" customForma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2:17" s="1" customForma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2:17" s="1" customForma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2:17" s="1" customForma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2:17" s="1" customForma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2:17" s="1" customForma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2:17" s="1" customForma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2:17" s="1" customForma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2:17" s="1" customFormat="1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2:17" s="1" customFormat="1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2:17" s="1" customFormat="1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2:17" s="1" customFormat="1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2:17" s="1" customFormat="1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2:17" s="1" customFormat="1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2:17" s="1" customForma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2:17" s="1" customFormat="1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2:17" s="1" customFormat="1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2:17" s="1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2:17" s="1" customFormat="1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2:17" s="1" customFormat="1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2:17" s="1" customFormat="1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2:17" s="1" customFormat="1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2:17" s="1" customFormat="1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2:17" s="1" customFormat="1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2:17" s="1" customFormat="1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2:17" s="1" customFormat="1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2:17" s="1" customFormat="1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2:17" s="1" customFormat="1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2:17" s="1" customFormat="1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2:17" s="1" customFormat="1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2:17" s="1" customFormat="1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2:17" s="1" customForma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2:17" s="1" customFormat="1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2:17" s="1" customFormat="1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2:17" s="1" customFormat="1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2:17" s="1" customFormat="1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2:17" s="1" customFormat="1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2:17" s="1" customFormat="1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2:17" s="1" customFormat="1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2:17" s="1" customFormat="1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2:17" s="1" customFormat="1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2:17" s="1" customFormat="1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2:17" s="1" customFormat="1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2:17" s="1" customFormat="1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2:17" s="1" customForma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2:17" s="1" customFormat="1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2:17" s="1" customFormat="1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2:17" s="1" customFormat="1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2:17" s="1" customFormat="1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2:17" s="1" customFormat="1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2:17" s="1" customFormat="1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2:17" s="1" customFormat="1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2:17" s="1" customFormat="1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2:17" s="1" customFormat="1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2:17" s="1" customFormat="1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2:17" s="1" customFormat="1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2:17" s="1" customFormat="1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2:17" s="1" customForma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2:17" s="1" customFormat="1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2:17" s="1" customFormat="1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2:17" s="1" customFormat="1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2:17" s="1" customFormat="1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2:17" s="1" customFormat="1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2:17" s="1" customFormat="1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2:17" s="1" customFormat="1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2:17" s="1" customFormat="1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2:17" s="1" customFormat="1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2:17" s="1" customFormat="1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2:17" s="1" customFormat="1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2:17" s="1" customFormat="1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2:17" s="1" customFormat="1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2:17" s="1" customFormat="1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2:17" s="1" customFormat="1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2:17" s="1" customFormat="1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2:17" s="1" customForma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2:17" s="1" customFormat="1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2:17" s="1" customFormat="1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2:17" s="1" customFormat="1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2:17" s="1" customFormat="1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2:17" s="1" customFormat="1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2:17" s="1" customFormat="1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2:17" s="1" customFormat="1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2:17" s="1" customFormat="1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2:17" s="1" customFormat="1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2:17" s="1" customFormat="1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2:17" s="1" customFormat="1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2:17" s="1" customFormat="1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2:17" s="1" customForma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2:17" s="1" customFormat="1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2:17" s="1" customFormat="1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2:17" s="1" customFormat="1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2:17" s="1" customFormat="1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2:17" s="1" customFormat="1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2:17" s="1" customFormat="1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2:17" s="1" customFormat="1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2:17" s="1" customFormat="1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2:17" s="1" customFormat="1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2:17" s="1" customFormat="1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2:17" s="1" customFormat="1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2:17" s="1" customFormat="1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2:17" s="1" customForma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2:17" s="1" customFormat="1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2:17" s="1" customFormat="1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2:17" s="1" customFormat="1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2:17" s="1" customFormat="1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2:17" s="1" customFormat="1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2:17" s="1" customFormat="1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2:17" s="1" customFormat="1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2:17" s="1" customFormat="1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2:17" s="1" customFormat="1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2:17" s="1" customFormat="1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2:17" s="1" customFormat="1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2:17" s="1" customFormat="1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2:17" s="1" customFormat="1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2:17" s="1" customFormat="1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2:17" s="1" customFormat="1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2:17" s="1" customFormat="1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2:17" s="1" customForma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2:17" s="1" customFormat="1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</row>
    <row r="231" spans="2:17" s="1" customFormat="1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</row>
    <row r="232" spans="2:17" s="1" customFormat="1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2:17" s="1" customFormat="1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2:17" s="1" customFormat="1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2:17" s="1" customFormat="1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</row>
    <row r="236" spans="2:17" s="1" customFormat="1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</row>
    <row r="237" spans="2:17" s="1" customFormat="1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</row>
    <row r="238" spans="2:17" s="1" customFormat="1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39" spans="2:17" s="1" customFormat="1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</row>
    <row r="240" spans="2:17" s="1" customFormat="1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</row>
    <row r="241" spans="2:17" s="1" customFormat="1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</row>
    <row r="242" spans="2:17" s="1" customForma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</row>
    <row r="243" spans="2:17" s="1" customFormat="1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</row>
    <row r="244" spans="2:17" s="1" customFormat="1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</row>
    <row r="245" spans="2:17" s="1" customFormat="1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</row>
    <row r="246" spans="2:17" s="1" customFormat="1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</row>
    <row r="247" spans="2:17" s="1" customFormat="1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</row>
    <row r="248" spans="2:17" s="1" customFormat="1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</row>
    <row r="249" spans="2:17" s="1" customFormat="1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2:17" s="1" customFormat="1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1" spans="2:17" s="1" customFormat="1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2:17" s="1" customFormat="1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2:17" s="1" customFormat="1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</row>
    <row r="254" spans="2:17" s="1" customFormat="1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</row>
    <row r="255" spans="2:17" s="1" customForma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</row>
    <row r="256" spans="2:17" s="1" customFormat="1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</row>
    <row r="257" spans="2:17" s="1" customFormat="1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</row>
    <row r="258" spans="2:17" s="1" customFormat="1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</row>
    <row r="259" spans="2:17" s="1" customFormat="1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</row>
    <row r="260" spans="2:17" s="1" customFormat="1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</row>
    <row r="261" spans="2:17" s="1" customFormat="1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</row>
    <row r="262" spans="2:17" s="1" customFormat="1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</row>
    <row r="263" spans="2:17" s="1" customFormat="1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</row>
    <row r="264" spans="2:17" s="1" customFormat="1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</row>
    <row r="265" spans="2:17" s="1" customFormat="1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</row>
    <row r="266" spans="2:17" s="1" customFormat="1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</row>
    <row r="267" spans="2:17" s="1" customFormat="1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</row>
    <row r="268" spans="2:17" s="1" customFormat="1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</row>
    <row r="269" spans="2:17" s="1" customFormat="1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</row>
    <row r="270" spans="2:17" s="1" customFormat="1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</row>
    <row r="271" spans="2:17" s="1" customFormat="1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</row>
    <row r="272" spans="2:17" s="1" customForma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</row>
    <row r="273" spans="2:17" s="1" customFormat="1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</row>
    <row r="274" spans="2:17" s="1" customFormat="1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</row>
    <row r="275" spans="2:17" s="1" customFormat="1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</row>
    <row r="276" spans="2:17" s="1" customFormat="1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</row>
    <row r="277" spans="2:17" s="1" customFormat="1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</row>
    <row r="278" spans="2:17" s="1" customFormat="1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</row>
    <row r="279" spans="2:17" s="1" customFormat="1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</row>
    <row r="280" spans="2:17" s="1" customFormat="1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</row>
    <row r="281" spans="2:17" s="1" customFormat="1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</row>
    <row r="282" spans="2:17" s="1" customFormat="1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</row>
    <row r="283" spans="2:17" s="1" customFormat="1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</row>
    <row r="284" spans="2:17" s="1" customFormat="1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</row>
    <row r="285" spans="2:17" s="1" customForma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</row>
    <row r="286" spans="2:17" s="1" customFormat="1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</row>
    <row r="287" spans="2:17" s="1" customFormat="1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</row>
    <row r="288" spans="2:17" s="1" customFormat="1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</row>
    <row r="289" spans="2:17" s="1" customFormat="1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</row>
    <row r="290" spans="2:17" s="1" customFormat="1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</row>
    <row r="291" spans="2:17" s="1" customFormat="1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</row>
    <row r="292" spans="2:17" s="1" customFormat="1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</row>
    <row r="293" spans="2:17" s="1" customFormat="1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</row>
    <row r="294" spans="2:17" s="1" customFormat="1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</row>
    <row r="295" spans="2:17" s="1" customFormat="1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2:17" s="1" customFormat="1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</row>
    <row r="297" spans="2:17" s="1" customFormat="1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</row>
    <row r="298" spans="2:17" s="1" customForma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</row>
    <row r="299" spans="2:17" s="1" customFormat="1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</row>
    <row r="300" spans="2:17" s="1" customFormat="1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</row>
    <row r="301" spans="2:17" s="1" customFormat="1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</row>
    <row r="302" spans="2:17" s="1" customFormat="1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</row>
    <row r="303" spans="2:17" s="1" customFormat="1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</row>
    <row r="304" spans="2:17" s="1" customFormat="1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</row>
    <row r="305" spans="2:17" s="1" customFormat="1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</row>
    <row r="306" spans="2:17" s="1" customFormat="1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</row>
    <row r="307" spans="2:17" s="1" customFormat="1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2:17" s="1" customFormat="1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2:17" s="1" customFormat="1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2:17" s="1" customFormat="1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</row>
    <row r="311" spans="2:17" s="1" customFormat="1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</row>
    <row r="312" spans="2:17" s="1" customFormat="1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</row>
    <row r="313" spans="2:17" s="1" customFormat="1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</row>
    <row r="314" spans="2:17" s="1" customFormat="1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</row>
    <row r="315" spans="2:17" s="1" customForma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</row>
    <row r="316" spans="2:17" s="1" customFormat="1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</row>
    <row r="317" spans="2:17" s="1" customFormat="1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</row>
    <row r="318" spans="2:17" s="1" customFormat="1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</row>
    <row r="319" spans="2:17" s="1" customFormat="1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</row>
    <row r="320" spans="2:17" s="1" customFormat="1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</row>
    <row r="321" spans="2:17" s="1" customFormat="1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</row>
    <row r="322" spans="2:17" s="1" customFormat="1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</row>
    <row r="323" spans="2:17" s="1" customFormat="1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</row>
    <row r="324" spans="2:17" s="1" customFormat="1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</row>
    <row r="325" spans="2:17" s="1" customFormat="1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</row>
    <row r="326" spans="2:17" s="1" customFormat="1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2:17" s="1" customFormat="1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</row>
    <row r="328" spans="2:17" s="1" customForma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</row>
    <row r="329" spans="2:17" s="1" customFormat="1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</row>
    <row r="330" spans="2:17" s="1" customFormat="1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2:17" s="1" customFormat="1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</row>
    <row r="332" spans="2:17" s="1" customFormat="1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</row>
    <row r="333" spans="2:17" s="1" customFormat="1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</row>
    <row r="334" spans="2:17" s="1" customFormat="1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</row>
    <row r="335" spans="2:17" s="1" customFormat="1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</row>
    <row r="336" spans="2:17" s="1" customFormat="1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</row>
    <row r="337" spans="2:17" s="1" customFormat="1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</row>
    <row r="338" spans="2:17" s="1" customFormat="1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</row>
    <row r="339" spans="2:17" s="1" customFormat="1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2:17" s="1" customFormat="1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</row>
    <row r="341" spans="2:17" s="1" customForma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2:17" s="1" customFormat="1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</row>
    <row r="343" spans="2:17" s="1" customFormat="1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</row>
    <row r="344" spans="2:17" s="1" customFormat="1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</row>
    <row r="345" spans="2:17" s="1" customFormat="1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</row>
    <row r="346" spans="2:17" s="1" customFormat="1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</row>
    <row r="347" spans="2:17" s="1" customFormat="1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</row>
    <row r="348" spans="2:17" s="1" customFormat="1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</row>
    <row r="349" spans="2:17" s="1" customFormat="1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</row>
    <row r="350" spans="2:17" s="1" customFormat="1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</row>
    <row r="351" spans="2:17" s="1" customFormat="1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</row>
    <row r="352" spans="2:17" s="1" customFormat="1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</row>
    <row r="353" spans="2:17" s="1" customFormat="1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</row>
    <row r="354" spans="2:17" s="1" customFormat="1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</row>
    <row r="355" spans="2:17" s="1" customFormat="1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</row>
    <row r="356" spans="2:17" s="1" customFormat="1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</row>
    <row r="357" spans="2:17" s="1" customFormat="1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</row>
    <row r="358" spans="2:17" s="1" customForma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</row>
    <row r="359" spans="2:17" s="1" customFormat="1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</row>
    <row r="360" spans="2:17" s="1" customFormat="1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</row>
    <row r="361" spans="2:17" s="1" customFormat="1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</row>
    <row r="362" spans="2:17" s="1" customFormat="1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</row>
    <row r="363" spans="2:17" s="1" customFormat="1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</row>
    <row r="364" spans="2:17" s="1" customFormat="1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</row>
    <row r="365" spans="2:17" s="1" customFormat="1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</row>
    <row r="366" spans="2:17" s="1" customFormat="1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</row>
    <row r="367" spans="2:17" s="1" customFormat="1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</row>
    <row r="368" spans="2:17" s="1" customFormat="1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</row>
    <row r="369" spans="2:17" s="1" customFormat="1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</row>
    <row r="370" spans="2:17" s="1" customFormat="1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</row>
    <row r="371" spans="2:17" s="1" customForma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</row>
    <row r="372" spans="2:17" s="1" customFormat="1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</row>
    <row r="373" spans="2:17" s="1" customFormat="1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</row>
    <row r="374" spans="2:17" s="1" customFormat="1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</row>
    <row r="375" spans="2:17" s="1" customFormat="1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</row>
    <row r="376" spans="2:17" s="1" customFormat="1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</row>
    <row r="377" spans="2:17" s="1" customFormat="1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</row>
    <row r="378" spans="2:17" s="1" customFormat="1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</row>
    <row r="379" spans="2:17" s="1" customFormat="1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</row>
    <row r="380" spans="2:17" s="1" customFormat="1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</row>
    <row r="381" spans="2:17" s="1" customFormat="1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2:17" s="1" customFormat="1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</row>
    <row r="383" spans="2:17" s="1" customFormat="1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</row>
    <row r="384" spans="2:17" s="1" customForma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</row>
    <row r="385" spans="2:17" s="1" customFormat="1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</row>
    <row r="386" spans="2:17" s="1" customFormat="1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</row>
    <row r="387" spans="2:17" s="1" customFormat="1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</row>
    <row r="388" spans="2:17" s="1" customFormat="1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</row>
    <row r="389" spans="2:17" s="1" customFormat="1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</row>
    <row r="390" spans="2:17" s="1" customFormat="1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</row>
    <row r="391" spans="2:17" s="1" customFormat="1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</row>
    <row r="392" spans="2:17" s="1" customFormat="1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</row>
    <row r="393" spans="2:17" s="1" customFormat="1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</row>
    <row r="394" spans="2:17" s="1" customFormat="1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</row>
    <row r="395" spans="2:17" s="1" customFormat="1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</row>
    <row r="396" spans="2:17" s="1" customFormat="1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</row>
    <row r="397" spans="2:17" s="1" customFormat="1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</row>
    <row r="398" spans="2:17" s="1" customFormat="1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</row>
    <row r="399" spans="2:17" s="1" customFormat="1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</row>
    <row r="400" spans="2:17" s="1" customFormat="1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</row>
    <row r="401" spans="2:17" s="1" customForma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</row>
    <row r="402" spans="2:17" s="1" customFormat="1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</row>
    <row r="403" spans="2:17" s="1" customFormat="1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</row>
    <row r="404" spans="2:17" s="1" customFormat="1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</row>
    <row r="405" spans="2:17" s="1" customFormat="1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</row>
    <row r="406" spans="2:17" s="1" customFormat="1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</row>
    <row r="407" spans="2:17" s="1" customFormat="1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</row>
    <row r="408" spans="2:17" s="1" customFormat="1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</row>
    <row r="409" spans="2:17" s="1" customFormat="1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</row>
    <row r="410" spans="2:17" s="1" customFormat="1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</row>
    <row r="411" spans="2:17" s="1" customFormat="1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</row>
    <row r="412" spans="2:17" s="1" customFormat="1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</row>
    <row r="413" spans="2:17" s="1" customFormat="1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</row>
    <row r="414" spans="2:17" s="1" customForma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</row>
    <row r="415" spans="2:17" s="1" customFormat="1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</row>
    <row r="416" spans="2:17" s="1" customFormat="1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</row>
    <row r="417" spans="2:17" s="1" customFormat="1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</row>
    <row r="418" spans="2:17" s="1" customFormat="1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</row>
    <row r="419" spans="2:17" s="1" customFormat="1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</row>
    <row r="420" spans="2:17" s="1" customFormat="1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</row>
    <row r="421" spans="2:17" s="1" customFormat="1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</row>
    <row r="422" spans="2:17" s="1" customFormat="1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</row>
    <row r="423" spans="2:17" s="1" customFormat="1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</row>
    <row r="424" spans="2:17" s="1" customFormat="1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</row>
    <row r="425" spans="2:17" s="1" customFormat="1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</row>
    <row r="426" spans="2:17" s="1" customFormat="1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</row>
    <row r="427" spans="2:17" s="1" customForma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</row>
    <row r="428" spans="2:17" s="1" customFormat="1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</row>
    <row r="429" spans="2:17" s="1" customFormat="1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</row>
    <row r="430" spans="2:17" s="1" customFormat="1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</row>
    <row r="431" spans="2:17" s="1" customFormat="1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</row>
    <row r="432" spans="2:17" s="1" customFormat="1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</row>
    <row r="433" spans="2:17" s="1" customFormat="1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</row>
    <row r="434" spans="2:17" s="1" customFormat="1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</row>
    <row r="435" spans="2:17" s="1" customFormat="1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</row>
    <row r="436" spans="2:17" s="1" customFormat="1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</row>
    <row r="437" spans="2:17" s="1" customFormat="1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</row>
    <row r="438" spans="2:17" s="1" customFormat="1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</row>
    <row r="439" spans="2:17" s="1" customFormat="1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</row>
    <row r="440" spans="2:17" s="1" customFormat="1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</row>
    <row r="441" spans="2:17" s="1" customFormat="1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</row>
    <row r="442" spans="2:17" s="1" customFormat="1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</row>
    <row r="443" spans="2:17" s="1" customFormat="1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</row>
    <row r="444" spans="2:17" s="1" customForma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</row>
    <row r="445" spans="2:17" s="1" customFormat="1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</row>
    <row r="446" spans="2:17" s="1" customFormat="1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</row>
    <row r="447" spans="2:17" s="1" customFormat="1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</row>
    <row r="448" spans="2:17" s="1" customFormat="1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</row>
    <row r="449" spans="2:17" s="1" customFormat="1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</row>
    <row r="450" spans="2:17" s="1" customFormat="1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</row>
    <row r="451" spans="2:17" s="1" customFormat="1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</row>
    <row r="452" spans="2:17" s="1" customFormat="1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</row>
    <row r="453" spans="2:17" s="1" customFormat="1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</row>
    <row r="454" spans="2:17" s="1" customFormat="1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</row>
    <row r="455" spans="2:17" s="1" customFormat="1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</row>
    <row r="456" spans="2:17" s="1" customFormat="1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</row>
    <row r="457" spans="2:17" s="1" customForma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</row>
    <row r="458" spans="2:17" s="1" customFormat="1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</row>
    <row r="459" spans="2:17" s="1" customFormat="1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</row>
    <row r="460" spans="2:17" s="1" customFormat="1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</row>
    <row r="461" spans="2:17" s="1" customFormat="1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</row>
    <row r="462" spans="2:17" s="1" customFormat="1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</row>
    <row r="463" spans="2:17" s="1" customFormat="1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</row>
    <row r="464" spans="2:17" s="1" customFormat="1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</row>
    <row r="465" spans="2:17" s="1" customFormat="1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</row>
    <row r="466" spans="2:17" s="1" customFormat="1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</row>
    <row r="467" spans="2:17" s="1" customFormat="1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</row>
    <row r="468" spans="2:17" s="1" customFormat="1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</row>
    <row r="469" spans="2:17" s="1" customFormat="1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</row>
    <row r="470" spans="2:17" s="1" customForma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</row>
    <row r="471" spans="2:17" s="1" customFormat="1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</row>
    <row r="472" spans="2:17" s="1" customFormat="1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</row>
    <row r="473" spans="2:17" s="1" customFormat="1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</row>
    <row r="474" spans="2:17" s="1" customFormat="1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</row>
    <row r="475" spans="2:17" s="1" customFormat="1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</row>
    <row r="476" spans="2:17" s="1" customFormat="1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</row>
    <row r="477" spans="2:17" s="1" customFormat="1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</row>
    <row r="478" spans="2:17" s="1" customFormat="1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</row>
    <row r="479" spans="2:17" s="1" customFormat="1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</row>
    <row r="480" spans="2:17" s="1" customFormat="1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</row>
    <row r="481" spans="2:17" s="1" customFormat="1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</row>
    <row r="482" spans="2:17" s="1" customFormat="1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</row>
    <row r="483" spans="2:17" s="1" customFormat="1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</row>
    <row r="484" spans="2:17" s="1" customFormat="1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</row>
    <row r="485" spans="2:17" s="1" customFormat="1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</row>
    <row r="486" spans="2:17" s="1" customFormat="1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</row>
    <row r="487" spans="2:17" s="1" customFormat="1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</row>
    <row r="488" spans="2:17" s="1" customFormat="1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</row>
    <row r="489" spans="2:17" s="1" customFormat="1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</row>
    <row r="490" spans="2:17" s="1" customFormat="1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</row>
    <row r="491" spans="2:17" s="1" customFormat="1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</row>
    <row r="492" spans="2:17" s="1" customFormat="1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</row>
    <row r="493" spans="2:17" s="1" customFormat="1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</row>
    <row r="494" spans="2:17" s="1" customFormat="1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</row>
    <row r="495" spans="2:17" s="1" customFormat="1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</row>
    <row r="496" spans="2:17" s="1" customFormat="1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</row>
    <row r="497" spans="2:17" s="1" customFormat="1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</row>
    <row r="498" spans="2:17" s="1" customFormat="1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</row>
    <row r="499" spans="2:17" s="1" customFormat="1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</row>
    <row r="500" spans="2:17" s="1" customFormat="1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</row>
    <row r="501" spans="2:17" s="1" customFormat="1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</row>
    <row r="502" spans="2:17" s="1" customFormat="1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</row>
    <row r="503" spans="2:17" s="1" customFormat="1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</row>
    <row r="504" spans="2:17" s="1" customFormat="1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</row>
    <row r="505" spans="2:17" s="1" customFormat="1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</row>
    <row r="506" spans="2:17" s="1" customFormat="1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</row>
    <row r="507" spans="2:17" s="1" customFormat="1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</row>
    <row r="508" spans="2:17" s="1" customFormat="1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</row>
    <row r="509" spans="2:17" s="1" customFormat="1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</row>
    <row r="510" spans="2:17" s="1" customFormat="1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</row>
    <row r="511" spans="2:17" s="1" customFormat="1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</row>
    <row r="512" spans="2:17" s="1" customFormat="1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</row>
    <row r="513" spans="2:17" s="1" customFormat="1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</row>
    <row r="514" spans="2:17" s="1" customFormat="1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</row>
    <row r="515" spans="2:17" s="1" customFormat="1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</row>
    <row r="516" spans="2:17" s="1" customFormat="1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</row>
    <row r="517" spans="2:17" s="1" customFormat="1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</row>
    <row r="518" spans="2:17" s="1" customFormat="1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</row>
    <row r="519" spans="2:17" s="1" customFormat="1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</row>
  </sheetData>
  <sheetProtection algorithmName="SHA-512" hashValue="NDMkKEIvq5YQSdCTJlqGTDi6ds1T67EpZQRp9I+EQM7nTZ9DOpm2+CsUEkhV8VYBW712cenXbW51sNzB5haNeg==" saltValue="GBiqReLeFCFlB9y9ZxCsXw==" spinCount="100000" sheet="1" scenarios="1"/>
  <mergeCells count="4">
    <mergeCell ref="B6:Q6"/>
    <mergeCell ref="B19:Q19"/>
    <mergeCell ref="B27:Q27"/>
    <mergeCell ref="B39:Q39"/>
  </mergeCells>
  <conditionalFormatting sqref="C7:C14 C20:C26 C28:C34 C40:C45">
    <cfRule type="cellIs" dxfId="77" priority="1" operator="equal">
      <formula>"SYDEREP"</formula>
    </cfRule>
    <cfRule type="cellIs" dxfId="76" priority="2" operator="equal">
      <formula>"Calcul"</formula>
    </cfRule>
    <cfRule type="cellIs" dxfId="75" priority="3" operator="equal">
      <formula>"EO"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AF519"/>
  <sheetViews>
    <sheetView zoomScale="80" zoomScaleNormal="80" workbookViewId="0"/>
  </sheetViews>
  <sheetFormatPr baseColWidth="10" defaultRowHeight="14.5"/>
  <cols>
    <col min="1" max="1" width="10.54296875" style="1" customWidth="1"/>
    <col min="2" max="2" width="63.81640625" style="83" customWidth="1"/>
    <col min="3" max="3" width="17.453125" style="83" customWidth="1"/>
    <col min="4" max="4" width="6.453125" style="83" bestFit="1" customWidth="1"/>
    <col min="5" max="17" width="11.54296875" style="83"/>
    <col min="18" max="19" width="11.453125" style="36"/>
    <col min="20" max="32" width="11.453125" style="1"/>
  </cols>
  <sheetData>
    <row r="1" spans="2:19" s="1" customFormat="1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91"/>
    </row>
    <row r="2" spans="2:19" s="1" customFormat="1" ht="23">
      <c r="B2" s="37" t="s">
        <v>42</v>
      </c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2:19" s="1" customFormat="1" ht="1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2:19" s="1" customFormat="1" ht="18">
      <c r="B4" s="38" t="s">
        <v>7</v>
      </c>
      <c r="C4" s="39" t="s">
        <v>140</v>
      </c>
      <c r="D4" s="39" t="s">
        <v>0</v>
      </c>
      <c r="E4" s="40">
        <v>2009</v>
      </c>
      <c r="F4" s="40">
        <v>2010</v>
      </c>
      <c r="G4" s="40">
        <v>2011</v>
      </c>
      <c r="H4" s="40">
        <v>2012</v>
      </c>
      <c r="I4" s="40">
        <v>2013</v>
      </c>
      <c r="J4" s="40">
        <v>2014</v>
      </c>
      <c r="K4" s="40">
        <v>2015</v>
      </c>
      <c r="L4" s="40">
        <v>2016</v>
      </c>
      <c r="M4" s="40">
        <v>2017</v>
      </c>
      <c r="N4" s="40">
        <v>2018</v>
      </c>
      <c r="O4" s="40">
        <v>2019</v>
      </c>
      <c r="P4" s="434">
        <v>2020</v>
      </c>
      <c r="Q4" s="41">
        <v>2021</v>
      </c>
      <c r="R4" s="36"/>
      <c r="S4" s="36"/>
    </row>
    <row r="5" spans="2:19" s="1" customFormat="1">
      <c r="B5" s="42" t="s">
        <v>6</v>
      </c>
      <c r="C5" s="43"/>
      <c r="D5" s="43"/>
      <c r="E5" s="44">
        <v>2010</v>
      </c>
      <c r="F5" s="44">
        <v>2011</v>
      </c>
      <c r="G5" s="44">
        <v>2012</v>
      </c>
      <c r="H5" s="44">
        <v>2013</v>
      </c>
      <c r="I5" s="44">
        <v>2014</v>
      </c>
      <c r="J5" s="44">
        <v>2015</v>
      </c>
      <c r="K5" s="44">
        <v>2016</v>
      </c>
      <c r="L5" s="44">
        <v>2017</v>
      </c>
      <c r="M5" s="44">
        <v>2018</v>
      </c>
      <c r="N5" s="44">
        <v>2019</v>
      </c>
      <c r="O5" s="44">
        <v>2020</v>
      </c>
      <c r="P5" s="533">
        <v>2021</v>
      </c>
      <c r="Q5" s="45">
        <v>2022</v>
      </c>
      <c r="R5" s="36"/>
      <c r="S5" s="36"/>
    </row>
    <row r="6" spans="2:19" s="1" customFormat="1" ht="30" customHeight="1">
      <c r="B6" s="654" t="s">
        <v>47</v>
      </c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6"/>
      <c r="R6" s="36"/>
      <c r="S6" s="36"/>
    </row>
    <row r="7" spans="2:19" s="1" customFormat="1">
      <c r="B7" s="46" t="s">
        <v>43</v>
      </c>
      <c r="C7" s="47" t="s">
        <v>141</v>
      </c>
      <c r="D7" s="43" t="s">
        <v>11</v>
      </c>
      <c r="E7" s="497">
        <f>'Mise sur le marché'!E17</f>
        <v>57.634636197741102</v>
      </c>
      <c r="F7" s="497">
        <f>'Mise sur le marché'!F17</f>
        <v>59.8122905522183</v>
      </c>
      <c r="G7" s="497">
        <f>'Mise sur le marché'!G17</f>
        <v>67.254904584578938</v>
      </c>
      <c r="H7" s="497">
        <f>'Mise sur le marché'!H17</f>
        <v>66.994146344423797</v>
      </c>
      <c r="I7" s="497">
        <f>'Mise sur le marché'!I17</f>
        <v>66.107699610403856</v>
      </c>
      <c r="J7" s="497">
        <f>'Mise sur le marché'!J17</f>
        <v>67.146221772580944</v>
      </c>
      <c r="K7" s="497">
        <f>'Mise sur le marché'!K17</f>
        <v>71.987320641933039</v>
      </c>
      <c r="L7" s="497">
        <f>'Mise sur le marché'!L17</f>
        <v>78.682139138768903</v>
      </c>
      <c r="M7" s="497">
        <f>'Mise sur le marché'!M17</f>
        <v>84.227244590057254</v>
      </c>
      <c r="N7" s="48">
        <f>'Mise sur le marché'!N17</f>
        <v>84.924120657783803</v>
      </c>
      <c r="O7" s="48">
        <f>'Mise sur le marché'!O17</f>
        <v>87.523075000000006</v>
      </c>
      <c r="P7" s="536">
        <f>'Mise sur le marché'!P17</f>
        <v>84.993172999999956</v>
      </c>
      <c r="Q7" s="49">
        <f>'Mise sur le marché'!Q17</f>
        <v>84.528240999999952</v>
      </c>
      <c r="R7" s="36"/>
      <c r="S7" s="36"/>
    </row>
    <row r="8" spans="2:19" s="1" customFormat="1">
      <c r="B8" s="46" t="s">
        <v>44</v>
      </c>
      <c r="C8" s="47" t="s">
        <v>123</v>
      </c>
      <c r="D8" s="43" t="s">
        <v>11</v>
      </c>
      <c r="E8" s="92">
        <f>SUM(E9:E13)</f>
        <v>20.21512899999999</v>
      </c>
      <c r="F8" s="92">
        <f t="shared" ref="F8:P8" si="0">SUM(F9:F13)</f>
        <v>19.943711999999991</v>
      </c>
      <c r="G8" s="92">
        <f t="shared" si="0"/>
        <v>21.379994999999987</v>
      </c>
      <c r="H8" s="92">
        <f t="shared" si="0"/>
        <v>23.525342999999992</v>
      </c>
      <c r="I8" s="92">
        <f t="shared" si="0"/>
        <v>23.747965000000001</v>
      </c>
      <c r="J8" s="92">
        <f t="shared" si="0"/>
        <v>25.853874999999977</v>
      </c>
      <c r="K8" s="92">
        <f t="shared" si="0"/>
        <v>28.208913999999975</v>
      </c>
      <c r="L8" s="92">
        <f t="shared" si="0"/>
        <v>32.421625999999968</v>
      </c>
      <c r="M8" s="92">
        <f t="shared" si="0"/>
        <v>37.245103279999952</v>
      </c>
      <c r="N8" s="92">
        <f t="shared" si="0"/>
        <v>37.801976499999981</v>
      </c>
      <c r="O8" s="92">
        <f t="shared" si="0"/>
        <v>40.795249999999996</v>
      </c>
      <c r="P8" s="537">
        <f t="shared" si="0"/>
        <v>47.324883</v>
      </c>
      <c r="Q8" s="93">
        <f>SUM(Q9:Q13)</f>
        <v>49.039928421052629</v>
      </c>
      <c r="R8" s="94"/>
      <c r="S8" s="36"/>
    </row>
    <row r="9" spans="2:19" s="1" customFormat="1" ht="17.5">
      <c r="B9" s="52" t="s">
        <v>181</v>
      </c>
      <c r="C9" s="53" t="s">
        <v>141</v>
      </c>
      <c r="D9" s="43" t="s">
        <v>11</v>
      </c>
      <c r="E9" s="95">
        <f>'Collecte et tri'!E28</f>
        <v>5.2268649999999903</v>
      </c>
      <c r="F9" s="95">
        <f>'Collecte et tri'!F28</f>
        <v>5.6118709999999901</v>
      </c>
      <c r="G9" s="95">
        <f>'Collecte et tri'!G28</f>
        <v>5.8809949999999862</v>
      </c>
      <c r="H9" s="95">
        <f>'Collecte et tri'!H28</f>
        <v>6.4166629999999909</v>
      </c>
      <c r="I9" s="95">
        <f>'Collecte et tri'!I28</f>
        <v>6.3483899999999975</v>
      </c>
      <c r="J9" s="95">
        <f>'Collecte et tri'!J28</f>
        <v>7.6572219999999964</v>
      </c>
      <c r="K9" s="95">
        <f>'Collecte et tri'!K28</f>
        <v>8.4988769999999931</v>
      </c>
      <c r="L9" s="95">
        <f>'Collecte et tri'!L28</f>
        <v>9.5875179999999922</v>
      </c>
      <c r="M9" s="95">
        <f>'Collecte et tri'!M28</f>
        <v>11.089235999999989</v>
      </c>
      <c r="N9" s="96">
        <f>'Collecte et tri'!N28</f>
        <v>11.591087999999999</v>
      </c>
      <c r="O9" s="96">
        <f>'Collecte et tri'!O28</f>
        <v>12.698729999999999</v>
      </c>
      <c r="P9" s="538">
        <f>'Collecte et tri'!P28</f>
        <v>13.915929999999999</v>
      </c>
      <c r="Q9" s="97">
        <f>'Collecte et tri'!Q28</f>
        <v>17.160679999999999</v>
      </c>
      <c r="R9" s="36"/>
      <c r="S9" s="36"/>
    </row>
    <row r="10" spans="2:19" s="1" customFormat="1" ht="17.5">
      <c r="B10" s="52" t="s">
        <v>183</v>
      </c>
      <c r="C10" s="53" t="s">
        <v>289</v>
      </c>
      <c r="D10" s="43" t="s">
        <v>11</v>
      </c>
      <c r="E10" s="54"/>
      <c r="F10" s="54"/>
      <c r="G10" s="54"/>
      <c r="H10" s="55"/>
      <c r="I10" s="56"/>
      <c r="J10" s="56"/>
      <c r="K10" s="56"/>
      <c r="L10" s="98">
        <v>0</v>
      </c>
      <c r="M10" s="98">
        <v>5.1999999999999998E-2</v>
      </c>
      <c r="N10" s="99">
        <v>6.2903500000000001E-2</v>
      </c>
      <c r="O10" s="99">
        <v>8.6999999999999994E-2</v>
      </c>
      <c r="P10" s="538">
        <v>4.1853000000000001E-2</v>
      </c>
      <c r="Q10" s="97">
        <v>6.7368421052631605E-2</v>
      </c>
      <c r="R10" s="36"/>
      <c r="S10" s="36"/>
    </row>
    <row r="11" spans="2:19" s="1" customFormat="1" ht="17.5">
      <c r="B11" s="52" t="s">
        <v>184</v>
      </c>
      <c r="C11" s="53" t="s">
        <v>289</v>
      </c>
      <c r="D11" s="43" t="s">
        <v>11</v>
      </c>
      <c r="E11" s="54"/>
      <c r="F11" s="54"/>
      <c r="G11" s="54"/>
      <c r="H11" s="55"/>
      <c r="I11" s="56"/>
      <c r="J11" s="56"/>
      <c r="K11" s="56"/>
      <c r="L11" s="56"/>
      <c r="M11" s="59"/>
      <c r="N11" s="59"/>
      <c r="O11" s="59"/>
      <c r="P11" s="59"/>
      <c r="Q11" s="539"/>
      <c r="R11" s="36"/>
      <c r="S11" s="36"/>
    </row>
    <row r="12" spans="2:19" s="1" customFormat="1" ht="17.5">
      <c r="B12" s="52" t="s">
        <v>185</v>
      </c>
      <c r="C12" s="53" t="s">
        <v>289</v>
      </c>
      <c r="D12" s="43" t="s">
        <v>11</v>
      </c>
      <c r="E12" s="54"/>
      <c r="F12" s="54"/>
      <c r="G12" s="54"/>
      <c r="H12" s="55"/>
      <c r="I12" s="56"/>
      <c r="J12" s="56"/>
      <c r="K12" s="56"/>
      <c r="L12" s="98">
        <v>0</v>
      </c>
      <c r="M12" s="98">
        <v>7.196000000000001E-3</v>
      </c>
      <c r="N12" s="99">
        <v>2.2800000000000001E-2</v>
      </c>
      <c r="O12" s="98">
        <v>2.7E-2</v>
      </c>
      <c r="P12" s="538">
        <v>1.4E-2</v>
      </c>
      <c r="Q12" s="97">
        <v>0.02</v>
      </c>
      <c r="R12" s="36"/>
      <c r="S12" s="36"/>
    </row>
    <row r="13" spans="2:19" s="1" customFormat="1" ht="17.5">
      <c r="B13" s="52" t="s">
        <v>182</v>
      </c>
      <c r="C13" s="53" t="s">
        <v>141</v>
      </c>
      <c r="D13" s="43" t="s">
        <v>11</v>
      </c>
      <c r="E13" s="95">
        <f>'Collecte et tri'!E29</f>
        <v>14.988263999999999</v>
      </c>
      <c r="F13" s="95">
        <f>'Collecte et tri'!F29</f>
        <v>14.331841000000001</v>
      </c>
      <c r="G13" s="95">
        <f>'Collecte et tri'!G29</f>
        <v>15.499000000000001</v>
      </c>
      <c r="H13" s="95">
        <f>'Collecte et tri'!H29</f>
        <v>17.10868</v>
      </c>
      <c r="I13" s="95">
        <f>'Collecte et tri'!I29</f>
        <v>17.399575000000002</v>
      </c>
      <c r="J13" s="95">
        <f>'Collecte et tri'!J29</f>
        <v>18.19665299999998</v>
      </c>
      <c r="K13" s="95">
        <f>'Collecte et tri'!K29</f>
        <v>19.710036999999982</v>
      </c>
      <c r="L13" s="95">
        <f>'Collecte et tri'!L29</f>
        <v>22.834107999999976</v>
      </c>
      <c r="M13" s="95">
        <f>'Collecte et tri'!M29</f>
        <v>26.09667127999996</v>
      </c>
      <c r="N13" s="96">
        <f>'Collecte et tri'!N29</f>
        <v>26.125184999999981</v>
      </c>
      <c r="O13" s="96">
        <f>'Collecte et tri'!O29</f>
        <v>27.982520000000001</v>
      </c>
      <c r="P13" s="538">
        <f>'Collecte et tri'!P29</f>
        <v>33.353100000000005</v>
      </c>
      <c r="Q13" s="97">
        <f>'Collecte et tri'!Q29</f>
        <v>31.791879999999999</v>
      </c>
      <c r="R13" s="36"/>
      <c r="S13" s="36"/>
    </row>
    <row r="14" spans="2:19" s="1" customFormat="1" ht="15" thickBot="1">
      <c r="B14" s="61" t="s">
        <v>5</v>
      </c>
      <c r="C14" s="62" t="s">
        <v>123</v>
      </c>
      <c r="D14" s="63" t="s">
        <v>3</v>
      </c>
      <c r="E14" s="64">
        <f t="shared" ref="E14:O14" si="1">E8/E7</f>
        <v>0.35074618898682819</v>
      </c>
      <c r="F14" s="64">
        <f t="shared" si="1"/>
        <v>0.33343835883677464</v>
      </c>
      <c r="G14" s="64">
        <f t="shared" si="1"/>
        <v>0.3178949569858176</v>
      </c>
      <c r="H14" s="64">
        <f t="shared" si="1"/>
        <v>0.35115520211353668</v>
      </c>
      <c r="I14" s="64">
        <f t="shared" si="1"/>
        <v>0.3592314532188412</v>
      </c>
      <c r="J14" s="64">
        <f t="shared" si="1"/>
        <v>0.38503841791076571</v>
      </c>
      <c r="K14" s="64">
        <f t="shared" si="1"/>
        <v>0.39185947953684663</v>
      </c>
      <c r="L14" s="64">
        <f t="shared" si="1"/>
        <v>0.41205826830431103</v>
      </c>
      <c r="M14" s="64">
        <f t="shared" si="1"/>
        <v>0.44219781213639053</v>
      </c>
      <c r="N14" s="64">
        <f t="shared" si="1"/>
        <v>0.44512649889340011</v>
      </c>
      <c r="O14" s="64">
        <f t="shared" si="1"/>
        <v>0.46610850909888613</v>
      </c>
      <c r="P14" s="438">
        <f t="shared" ref="P14" si="2">P8/P7</f>
        <v>0.55680805092427865</v>
      </c>
      <c r="Q14" s="65">
        <f>Q8/Q7</f>
        <v>0.58016028537790887</v>
      </c>
      <c r="R14" s="36"/>
      <c r="S14" s="36"/>
    </row>
    <row r="15" spans="2:19" s="1" customFormat="1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2:19" s="1" customFormat="1" ht="15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7" spans="2:19" s="1" customFormat="1" ht="18">
      <c r="B17" s="38" t="s">
        <v>7</v>
      </c>
      <c r="C17" s="101"/>
      <c r="D17" s="39" t="s">
        <v>0</v>
      </c>
      <c r="E17" s="40">
        <v>2009</v>
      </c>
      <c r="F17" s="40">
        <v>2010</v>
      </c>
      <c r="G17" s="40">
        <v>2011</v>
      </c>
      <c r="H17" s="40">
        <v>2012</v>
      </c>
      <c r="I17" s="40">
        <v>2013</v>
      </c>
      <c r="J17" s="40">
        <v>2014</v>
      </c>
      <c r="K17" s="40">
        <v>2015</v>
      </c>
      <c r="L17" s="40">
        <v>2016</v>
      </c>
      <c r="M17" s="40">
        <v>2017</v>
      </c>
      <c r="N17" s="40">
        <v>2018</v>
      </c>
      <c r="O17" s="40">
        <v>2019</v>
      </c>
      <c r="P17" s="434">
        <v>2020</v>
      </c>
      <c r="Q17" s="41">
        <v>2021</v>
      </c>
      <c r="R17" s="36"/>
      <c r="S17" s="36"/>
    </row>
    <row r="18" spans="2:19" s="1" customFormat="1">
      <c r="B18" s="42" t="s">
        <v>6</v>
      </c>
      <c r="C18" s="390"/>
      <c r="D18" s="43"/>
      <c r="E18" s="44">
        <v>2010</v>
      </c>
      <c r="F18" s="44">
        <v>2011</v>
      </c>
      <c r="G18" s="44">
        <v>2012</v>
      </c>
      <c r="H18" s="44">
        <v>2013</v>
      </c>
      <c r="I18" s="44">
        <v>2014</v>
      </c>
      <c r="J18" s="44">
        <v>2015</v>
      </c>
      <c r="K18" s="44">
        <v>2016</v>
      </c>
      <c r="L18" s="44">
        <v>2017</v>
      </c>
      <c r="M18" s="44">
        <v>2018</v>
      </c>
      <c r="N18" s="44">
        <v>2019</v>
      </c>
      <c r="O18" s="44">
        <v>2020</v>
      </c>
      <c r="P18" s="533">
        <v>2021</v>
      </c>
      <c r="Q18" s="45">
        <v>2022</v>
      </c>
      <c r="R18" s="36"/>
      <c r="S18" s="36"/>
    </row>
    <row r="19" spans="2:19" s="1" customFormat="1" ht="30" customHeight="1">
      <c r="B19" s="654" t="s">
        <v>65</v>
      </c>
      <c r="C19" s="655"/>
      <c r="D19" s="655"/>
      <c r="E19" s="655"/>
      <c r="F19" s="655"/>
      <c r="G19" s="655"/>
      <c r="H19" s="655"/>
      <c r="I19" s="655"/>
      <c r="J19" s="655"/>
      <c r="K19" s="655"/>
      <c r="L19" s="655"/>
      <c r="M19" s="655"/>
      <c r="N19" s="655"/>
      <c r="O19" s="655"/>
      <c r="P19" s="655"/>
      <c r="Q19" s="656"/>
      <c r="R19" s="36"/>
      <c r="S19" s="36"/>
    </row>
    <row r="20" spans="2:19" s="1" customFormat="1" ht="17.5">
      <c r="B20" s="52" t="s">
        <v>61</v>
      </c>
      <c r="C20" s="53" t="s">
        <v>289</v>
      </c>
      <c r="D20" s="43" t="s">
        <v>3</v>
      </c>
      <c r="E20" s="68"/>
      <c r="F20" s="68"/>
      <c r="G20" s="68"/>
      <c r="H20" s="69"/>
      <c r="I20" s="56"/>
      <c r="J20" s="56"/>
      <c r="K20" s="70">
        <v>0.34</v>
      </c>
      <c r="L20" s="70">
        <v>0.35</v>
      </c>
      <c r="M20" s="70">
        <v>0.31</v>
      </c>
      <c r="N20" s="71">
        <v>0.31</v>
      </c>
      <c r="O20" s="71">
        <v>0.31</v>
      </c>
      <c r="P20" s="534">
        <v>0.33900000000000002</v>
      </c>
      <c r="Q20" s="524">
        <v>0.36399999999999999</v>
      </c>
      <c r="R20" s="36"/>
      <c r="S20" s="36"/>
    </row>
    <row r="21" spans="2:19" s="1" customFormat="1" ht="17.5">
      <c r="B21" s="52" t="s">
        <v>62</v>
      </c>
      <c r="C21" s="53" t="s">
        <v>289</v>
      </c>
      <c r="D21" s="43" t="s">
        <v>3</v>
      </c>
      <c r="E21" s="68"/>
      <c r="F21" s="68"/>
      <c r="G21" s="68"/>
      <c r="H21" s="69"/>
      <c r="I21" s="56"/>
      <c r="J21" s="56"/>
      <c r="K21" s="70">
        <v>0.63</v>
      </c>
      <c r="L21" s="70">
        <v>0.59</v>
      </c>
      <c r="M21" s="70">
        <v>0.61</v>
      </c>
      <c r="N21" s="71">
        <v>0.62</v>
      </c>
      <c r="O21" s="71">
        <v>0.59</v>
      </c>
      <c r="P21" s="534">
        <v>0.58399999999999996</v>
      </c>
      <c r="Q21" s="524">
        <v>0.55899999999999994</v>
      </c>
      <c r="R21" s="36"/>
      <c r="S21" s="36"/>
    </row>
    <row r="22" spans="2:19" s="1" customFormat="1" ht="17.5">
      <c r="B22" s="52" t="s">
        <v>63</v>
      </c>
      <c r="C22" s="53" t="s">
        <v>289</v>
      </c>
      <c r="D22" s="43" t="s">
        <v>3</v>
      </c>
      <c r="E22" s="68"/>
      <c r="F22" s="68"/>
      <c r="G22" s="68"/>
      <c r="H22" s="69"/>
      <c r="I22" s="56"/>
      <c r="J22" s="56"/>
      <c r="K22" s="70">
        <v>0.04</v>
      </c>
      <c r="L22" s="70">
        <v>0.06</v>
      </c>
      <c r="M22" s="70">
        <v>0.08</v>
      </c>
      <c r="N22" s="71">
        <v>7.0000000000000007E-2</v>
      </c>
      <c r="O22" s="71">
        <v>0.1</v>
      </c>
      <c r="P22" s="534">
        <v>7.8E-2</v>
      </c>
      <c r="Q22" s="524">
        <v>7.6999999999999999E-2</v>
      </c>
      <c r="R22" s="36"/>
      <c r="S22" s="36"/>
    </row>
    <row r="23" spans="2:19" s="1" customFormat="1">
      <c r="B23" s="46" t="s">
        <v>268</v>
      </c>
      <c r="C23" s="53" t="s">
        <v>289</v>
      </c>
      <c r="D23" s="43" t="s">
        <v>3</v>
      </c>
      <c r="E23" s="68"/>
      <c r="F23" s="68"/>
      <c r="G23" s="68"/>
      <c r="H23" s="69"/>
      <c r="I23" s="56"/>
      <c r="J23" s="56"/>
      <c r="K23" s="70">
        <f>1-(K24+K25)</f>
        <v>0.76</v>
      </c>
      <c r="L23" s="70">
        <f>1-(L24+L25)</f>
        <v>0.67999999999999994</v>
      </c>
      <c r="M23" s="70">
        <f>1-(M24+M25)</f>
        <v>0.52</v>
      </c>
      <c r="N23" s="71">
        <v>0.5</v>
      </c>
      <c r="O23" s="71">
        <v>0.48</v>
      </c>
      <c r="P23" s="534">
        <v>0.44700000000000001</v>
      </c>
      <c r="Q23" s="524">
        <v>0.47099999999999997</v>
      </c>
      <c r="R23" s="36"/>
      <c r="S23" s="36"/>
    </row>
    <row r="24" spans="2:19" s="1" customFormat="1">
      <c r="B24" s="46" t="s">
        <v>64</v>
      </c>
      <c r="C24" s="53" t="s">
        <v>289</v>
      </c>
      <c r="D24" s="43" t="s">
        <v>3</v>
      </c>
      <c r="E24" s="68"/>
      <c r="F24" s="68"/>
      <c r="G24" s="68"/>
      <c r="H24" s="69"/>
      <c r="I24" s="56"/>
      <c r="J24" s="56"/>
      <c r="K24" s="70">
        <v>0.24</v>
      </c>
      <c r="L24" s="70">
        <v>0.32</v>
      </c>
      <c r="M24" s="70">
        <v>0.48</v>
      </c>
      <c r="N24" s="71">
        <v>0.5</v>
      </c>
      <c r="O24" s="71">
        <v>0.52</v>
      </c>
      <c r="P24" s="534">
        <v>0.55300000000000005</v>
      </c>
      <c r="Q24" s="524">
        <v>0.52900000000000003</v>
      </c>
      <c r="R24" s="36"/>
      <c r="S24" s="36"/>
    </row>
    <row r="25" spans="2:19" s="1" customFormat="1">
      <c r="B25" s="46" t="s">
        <v>45</v>
      </c>
      <c r="C25" s="53" t="s">
        <v>289</v>
      </c>
      <c r="D25" s="43" t="s">
        <v>3</v>
      </c>
      <c r="E25" s="68"/>
      <c r="F25" s="68"/>
      <c r="G25" s="68"/>
      <c r="H25" s="69"/>
      <c r="I25" s="56"/>
      <c r="J25" s="56"/>
      <c r="K25" s="70">
        <v>0</v>
      </c>
      <c r="L25" s="70">
        <v>0</v>
      </c>
      <c r="M25" s="70">
        <v>0</v>
      </c>
      <c r="N25" s="71">
        <v>0</v>
      </c>
      <c r="O25" s="71">
        <v>0</v>
      </c>
      <c r="P25" s="534">
        <v>0</v>
      </c>
      <c r="Q25" s="524">
        <v>0</v>
      </c>
      <c r="R25" s="36"/>
      <c r="S25" s="36"/>
    </row>
    <row r="26" spans="2:19" s="1" customFormat="1">
      <c r="B26" s="46" t="s">
        <v>48</v>
      </c>
      <c r="C26" s="53" t="s">
        <v>289</v>
      </c>
      <c r="D26" s="43" t="s">
        <v>3</v>
      </c>
      <c r="E26" s="54"/>
      <c r="F26" s="54"/>
      <c r="G26" s="54"/>
      <c r="H26" s="55"/>
      <c r="I26" s="72"/>
      <c r="J26" s="72"/>
      <c r="K26" s="70">
        <v>0</v>
      </c>
      <c r="L26" s="70">
        <v>0</v>
      </c>
      <c r="M26" s="70">
        <v>0</v>
      </c>
      <c r="N26" s="71">
        <v>0</v>
      </c>
      <c r="O26" s="71">
        <v>0</v>
      </c>
      <c r="P26" s="534">
        <v>0</v>
      </c>
      <c r="Q26" s="524">
        <v>0</v>
      </c>
      <c r="R26" s="36"/>
      <c r="S26" s="36"/>
    </row>
    <row r="27" spans="2:19" s="1" customFormat="1" ht="30" customHeight="1">
      <c r="B27" s="654" t="s">
        <v>60</v>
      </c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655"/>
      <c r="Q27" s="656"/>
      <c r="R27" s="36"/>
      <c r="S27" s="36"/>
    </row>
    <row r="28" spans="2:19" s="1" customFormat="1" ht="17.5">
      <c r="B28" s="52" t="s">
        <v>61</v>
      </c>
      <c r="C28" s="53" t="s">
        <v>289</v>
      </c>
      <c r="D28" s="43" t="s">
        <v>3</v>
      </c>
      <c r="E28" s="68"/>
      <c r="F28" s="68"/>
      <c r="G28" s="68"/>
      <c r="H28" s="69"/>
      <c r="I28" s="56"/>
      <c r="J28" s="56"/>
      <c r="K28" s="70">
        <v>0.01</v>
      </c>
      <c r="L28" s="70">
        <v>0.01</v>
      </c>
      <c r="M28" s="103">
        <v>2E-3</v>
      </c>
      <c r="N28" s="71">
        <v>0</v>
      </c>
      <c r="O28" s="73"/>
      <c r="P28" s="535"/>
      <c r="Q28" s="523"/>
      <c r="R28" s="36"/>
      <c r="S28" s="36"/>
    </row>
    <row r="29" spans="2:19" s="1" customFormat="1" ht="17.5">
      <c r="B29" s="52" t="s">
        <v>62</v>
      </c>
      <c r="C29" s="53" t="s">
        <v>289</v>
      </c>
      <c r="D29" s="43" t="s">
        <v>3</v>
      </c>
      <c r="E29" s="68"/>
      <c r="F29" s="68"/>
      <c r="G29" s="68"/>
      <c r="H29" s="69"/>
      <c r="I29" s="56"/>
      <c r="J29" s="56"/>
      <c r="K29" s="70">
        <v>0.33</v>
      </c>
      <c r="L29" s="70">
        <v>0.38</v>
      </c>
      <c r="M29" s="103">
        <v>0.28499999999999998</v>
      </c>
      <c r="N29" s="103">
        <v>0.23200000000000001</v>
      </c>
      <c r="O29" s="73"/>
      <c r="P29" s="535"/>
      <c r="Q29" s="523"/>
      <c r="R29" s="36"/>
      <c r="S29" s="36"/>
    </row>
    <row r="30" spans="2:19" s="1" customFormat="1" ht="17.5">
      <c r="B30" s="52" t="s">
        <v>63</v>
      </c>
      <c r="C30" s="53" t="s">
        <v>289</v>
      </c>
      <c r="D30" s="43" t="s">
        <v>3</v>
      </c>
      <c r="E30" s="68"/>
      <c r="F30" s="68"/>
      <c r="G30" s="68"/>
      <c r="H30" s="69"/>
      <c r="I30" s="56"/>
      <c r="J30" s="56"/>
      <c r="K30" s="70">
        <v>0.67</v>
      </c>
      <c r="L30" s="70">
        <v>0.61</v>
      </c>
      <c r="M30" s="103">
        <v>0.71299999999999997</v>
      </c>
      <c r="N30" s="103">
        <v>0.76800000000000002</v>
      </c>
      <c r="O30" s="73"/>
      <c r="P30" s="535"/>
      <c r="Q30" s="523"/>
      <c r="R30" s="36"/>
      <c r="S30" s="36"/>
    </row>
    <row r="31" spans="2:19" s="1" customFormat="1">
      <c r="B31" s="46" t="s">
        <v>268</v>
      </c>
      <c r="C31" s="53" t="s">
        <v>289</v>
      </c>
      <c r="D31" s="43" t="s">
        <v>3</v>
      </c>
      <c r="E31" s="68"/>
      <c r="F31" s="68"/>
      <c r="G31" s="68"/>
      <c r="H31" s="69"/>
      <c r="I31" s="56"/>
      <c r="J31" s="56"/>
      <c r="K31" s="70">
        <f>1-(K32+K33)</f>
        <v>0.94</v>
      </c>
      <c r="L31" s="70">
        <f>1-(L32+L33)</f>
        <v>0.95</v>
      </c>
      <c r="M31" s="70">
        <f>1-(M32+M33)</f>
        <v>0.92999999999999994</v>
      </c>
      <c r="N31" s="71">
        <f>1-(N32+N33)</f>
        <v>0.78</v>
      </c>
      <c r="O31" s="71">
        <f>1-(O32+O33)</f>
        <v>0.49</v>
      </c>
      <c r="P31" s="534">
        <v>0.79600000000000004</v>
      </c>
      <c r="Q31" s="524">
        <v>0.873</v>
      </c>
      <c r="R31" s="36"/>
      <c r="S31" s="36"/>
    </row>
    <row r="32" spans="2:19" s="1" customFormat="1">
      <c r="B32" s="46" t="s">
        <v>64</v>
      </c>
      <c r="C32" s="53" t="s">
        <v>289</v>
      </c>
      <c r="D32" s="43" t="s">
        <v>3</v>
      </c>
      <c r="E32" s="68"/>
      <c r="F32" s="68"/>
      <c r="G32" s="68"/>
      <c r="H32" s="69"/>
      <c r="I32" s="56"/>
      <c r="J32" s="56"/>
      <c r="K32" s="70">
        <v>0.06</v>
      </c>
      <c r="L32" s="70">
        <v>0.05</v>
      </c>
      <c r="M32" s="70">
        <v>7.0000000000000007E-2</v>
      </c>
      <c r="N32" s="71">
        <v>0.22</v>
      </c>
      <c r="O32" s="71">
        <v>0.51</v>
      </c>
      <c r="P32" s="534">
        <v>0.20399999999999999</v>
      </c>
      <c r="Q32" s="524">
        <v>0.127</v>
      </c>
      <c r="R32" s="36"/>
      <c r="S32" s="36"/>
    </row>
    <row r="33" spans="2:19" s="1" customFormat="1">
      <c r="B33" s="46" t="s">
        <v>45</v>
      </c>
      <c r="C33" s="53" t="s">
        <v>289</v>
      </c>
      <c r="D33" s="43" t="s">
        <v>3</v>
      </c>
      <c r="E33" s="68"/>
      <c r="F33" s="68"/>
      <c r="G33" s="68"/>
      <c r="H33" s="69"/>
      <c r="I33" s="56"/>
      <c r="J33" s="56"/>
      <c r="K33" s="70">
        <v>0</v>
      </c>
      <c r="L33" s="70">
        <v>0</v>
      </c>
      <c r="M33" s="70">
        <v>0</v>
      </c>
      <c r="N33" s="71">
        <v>0</v>
      </c>
      <c r="O33" s="71">
        <v>0</v>
      </c>
      <c r="P33" s="534">
        <v>0</v>
      </c>
      <c r="Q33" s="524">
        <v>0</v>
      </c>
      <c r="R33" s="36"/>
      <c r="S33" s="36"/>
    </row>
    <row r="34" spans="2:19" s="1" customFormat="1" ht="15" thickBot="1">
      <c r="B34" s="75" t="s">
        <v>48</v>
      </c>
      <c r="C34" s="62" t="s">
        <v>289</v>
      </c>
      <c r="D34" s="77" t="s">
        <v>3</v>
      </c>
      <c r="E34" s="78"/>
      <c r="F34" s="78"/>
      <c r="G34" s="78"/>
      <c r="H34" s="79"/>
      <c r="I34" s="80"/>
      <c r="J34" s="80"/>
      <c r="K34" s="81">
        <v>0</v>
      </c>
      <c r="L34" s="81">
        <v>0</v>
      </c>
      <c r="M34" s="81">
        <v>0</v>
      </c>
      <c r="N34" s="82">
        <v>0</v>
      </c>
      <c r="O34" s="82">
        <v>0</v>
      </c>
      <c r="P34" s="531">
        <v>0</v>
      </c>
      <c r="Q34" s="532">
        <v>0</v>
      </c>
      <c r="R34" s="36"/>
      <c r="S34" s="36"/>
    </row>
    <row r="35" spans="2:19" s="1" customFormat="1"/>
    <row r="36" spans="2:19" s="1" customFormat="1" ht="15" thickBot="1"/>
    <row r="37" spans="2:19" s="1" customFormat="1" ht="18">
      <c r="B37" s="38" t="s">
        <v>7</v>
      </c>
      <c r="C37" s="101"/>
      <c r="D37" s="39" t="s">
        <v>0</v>
      </c>
      <c r="E37" s="40">
        <v>2009</v>
      </c>
      <c r="F37" s="40">
        <v>2010</v>
      </c>
      <c r="G37" s="40">
        <v>2011</v>
      </c>
      <c r="H37" s="40">
        <v>2012</v>
      </c>
      <c r="I37" s="40">
        <v>2013</v>
      </c>
      <c r="J37" s="40">
        <v>2014</v>
      </c>
      <c r="K37" s="40">
        <v>2015</v>
      </c>
      <c r="L37" s="40">
        <v>2016</v>
      </c>
      <c r="M37" s="40">
        <v>2017</v>
      </c>
      <c r="N37" s="40">
        <v>2018</v>
      </c>
      <c r="O37" s="40">
        <v>2019</v>
      </c>
      <c r="P37" s="434">
        <v>2020</v>
      </c>
      <c r="Q37" s="41">
        <v>2021</v>
      </c>
      <c r="R37" s="36"/>
      <c r="S37" s="36"/>
    </row>
    <row r="38" spans="2:19" s="1" customFormat="1">
      <c r="B38" s="42" t="s">
        <v>6</v>
      </c>
      <c r="C38" s="390"/>
      <c r="D38" s="43"/>
      <c r="E38" s="44">
        <v>2010</v>
      </c>
      <c r="F38" s="44">
        <v>2011</v>
      </c>
      <c r="G38" s="44">
        <v>2012</v>
      </c>
      <c r="H38" s="44">
        <v>2013</v>
      </c>
      <c r="I38" s="44">
        <v>2014</v>
      </c>
      <c r="J38" s="44">
        <v>2015</v>
      </c>
      <c r="K38" s="44">
        <v>2016</v>
      </c>
      <c r="L38" s="44">
        <v>2017</v>
      </c>
      <c r="M38" s="44">
        <v>2018</v>
      </c>
      <c r="N38" s="44">
        <v>2019</v>
      </c>
      <c r="O38" s="44">
        <v>2020</v>
      </c>
      <c r="P38" s="533">
        <v>2021</v>
      </c>
      <c r="Q38" s="45">
        <v>2022</v>
      </c>
      <c r="R38" s="36"/>
      <c r="S38" s="36"/>
    </row>
    <row r="39" spans="2:19" s="1" customFormat="1" ht="30" customHeight="1">
      <c r="B39" s="654" t="s">
        <v>46</v>
      </c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655"/>
      <c r="Q39" s="656"/>
      <c r="R39" s="36"/>
      <c r="S39" s="36"/>
    </row>
    <row r="40" spans="2:19" s="1" customFormat="1" ht="29">
      <c r="B40" s="46" t="s">
        <v>192</v>
      </c>
      <c r="C40" s="53" t="s">
        <v>289</v>
      </c>
      <c r="D40" s="43" t="s">
        <v>9</v>
      </c>
      <c r="E40" s="104">
        <f>'Mise sur le marché'!E94</f>
        <v>4.7134119047899992</v>
      </c>
      <c r="F40" s="104">
        <f>'Mise sur le marché'!F94</f>
        <v>6</v>
      </c>
      <c r="G40" s="104">
        <f>'Mise sur le marché'!G94</f>
        <v>6</v>
      </c>
      <c r="H40" s="104">
        <f>'Mise sur le marché'!H94</f>
        <v>16</v>
      </c>
      <c r="I40" s="104">
        <f>'Mise sur le marché'!I94</f>
        <v>18</v>
      </c>
      <c r="J40" s="104">
        <f>'Mise sur le marché'!J94</f>
        <v>21.199683504893468</v>
      </c>
      <c r="K40" s="104">
        <f>'Mise sur le marché'!K94</f>
        <v>20</v>
      </c>
      <c r="L40" s="104">
        <f>'Mise sur le marché'!L94</f>
        <v>20</v>
      </c>
      <c r="M40" s="104">
        <f>'Mise sur le marché'!M94</f>
        <v>7.6599639992197845</v>
      </c>
      <c r="N40" s="74">
        <f>'Mise sur le marché'!N94</f>
        <v>8.1485218277822717</v>
      </c>
      <c r="O40" s="74">
        <f>'Mise sur le marché'!O94</f>
        <v>9.0923683623235103</v>
      </c>
      <c r="P40" s="74">
        <f>'Mise sur le marché'!P94</f>
        <v>9.4757962293689335</v>
      </c>
      <c r="Q40" s="529">
        <f>'Mise sur le marché'!Q94</f>
        <v>9.7368464507999999</v>
      </c>
      <c r="R40" s="36"/>
      <c r="S40" s="36"/>
    </row>
    <row r="41" spans="2:19" s="1" customFormat="1">
      <c r="B41" s="87" t="s">
        <v>66</v>
      </c>
      <c r="C41" s="105" t="s">
        <v>123</v>
      </c>
      <c r="D41" s="106" t="s">
        <v>2</v>
      </c>
      <c r="E41" s="107">
        <f t="shared" ref="E41:Q41" si="3">E40/E7*1000</f>
        <v>81.780891070753981</v>
      </c>
      <c r="F41" s="107">
        <f t="shared" si="3"/>
        <v>100.31383089670813</v>
      </c>
      <c r="G41" s="107">
        <f t="shared" si="3"/>
        <v>89.21282450790595</v>
      </c>
      <c r="H41" s="107">
        <f t="shared" si="3"/>
        <v>238.82683597074816</v>
      </c>
      <c r="I41" s="107">
        <f t="shared" si="3"/>
        <v>272.28295805300121</v>
      </c>
      <c r="J41" s="107">
        <f t="shared" si="3"/>
        <v>315.72414568157171</v>
      </c>
      <c r="K41" s="107">
        <f t="shared" si="3"/>
        <v>277.82670367022774</v>
      </c>
      <c r="L41" s="107">
        <f t="shared" si="3"/>
        <v>254.18729357023085</v>
      </c>
      <c r="M41" s="107">
        <f t="shared" si="3"/>
        <v>90.944017419798371</v>
      </c>
      <c r="N41" s="107">
        <f t="shared" si="3"/>
        <v>95.95061761802782</v>
      </c>
      <c r="O41" s="107">
        <f t="shared" si="3"/>
        <v>103.88538522353689</v>
      </c>
      <c r="P41" s="542">
        <f t="shared" ref="P41" si="4">P40/P7*1000</f>
        <v>111.4889101665723</v>
      </c>
      <c r="Q41" s="108">
        <f t="shared" si="3"/>
        <v>115.19045393124891</v>
      </c>
      <c r="R41" s="36"/>
      <c r="S41" s="36"/>
    </row>
    <row r="42" spans="2:19" s="1" customFormat="1" ht="29">
      <c r="B42" s="46" t="s">
        <v>75</v>
      </c>
      <c r="C42" s="53" t="s">
        <v>289</v>
      </c>
      <c r="D42" s="43" t="s">
        <v>9</v>
      </c>
      <c r="E42" s="74">
        <v>2.9930000000000003</v>
      </c>
      <c r="F42" s="74">
        <v>3.5999999999999996</v>
      </c>
      <c r="G42" s="74">
        <v>4</v>
      </c>
      <c r="H42" s="74">
        <v>4</v>
      </c>
      <c r="I42" s="74">
        <v>4</v>
      </c>
      <c r="J42" s="74">
        <v>4</v>
      </c>
      <c r="K42" s="74">
        <v>5.03</v>
      </c>
      <c r="L42" s="74">
        <v>6.2213754899999998</v>
      </c>
      <c r="M42" s="74">
        <v>6.8</v>
      </c>
      <c r="N42" s="74">
        <v>8.4</v>
      </c>
      <c r="O42" s="74">
        <v>7.0638034300789299</v>
      </c>
      <c r="P42" s="543">
        <v>7.7052466599618388</v>
      </c>
      <c r="Q42" s="529">
        <v>8.9633870068895742</v>
      </c>
      <c r="R42" s="36"/>
      <c r="S42" s="36"/>
    </row>
    <row r="43" spans="2:19" s="1" customFormat="1">
      <c r="B43" s="87" t="s">
        <v>67</v>
      </c>
      <c r="C43" s="105" t="s">
        <v>123</v>
      </c>
      <c r="D43" s="106" t="s">
        <v>2</v>
      </c>
      <c r="E43" s="109">
        <f t="shared" ref="E43:Q43" si="5">E42/E8*1000</f>
        <v>148.05742768200994</v>
      </c>
      <c r="F43" s="109">
        <f t="shared" si="5"/>
        <v>180.50802177648782</v>
      </c>
      <c r="G43" s="109">
        <f t="shared" si="5"/>
        <v>187.09078276211022</v>
      </c>
      <c r="H43" s="109">
        <f t="shared" si="5"/>
        <v>170.0294019092517</v>
      </c>
      <c r="I43" s="109">
        <f t="shared" si="5"/>
        <v>168.43548489312661</v>
      </c>
      <c r="J43" s="109">
        <f t="shared" si="5"/>
        <v>154.71568575310292</v>
      </c>
      <c r="K43" s="109">
        <f t="shared" si="5"/>
        <v>178.31242989361465</v>
      </c>
      <c r="L43" s="109">
        <f t="shared" si="5"/>
        <v>191.88968159709219</v>
      </c>
      <c r="M43" s="109">
        <f t="shared" si="5"/>
        <v>182.57433598395994</v>
      </c>
      <c r="N43" s="109">
        <f t="shared" si="5"/>
        <v>222.21060319425374</v>
      </c>
      <c r="O43" s="109">
        <f t="shared" si="5"/>
        <v>173.1525957085428</v>
      </c>
      <c r="P43" s="544">
        <f t="shared" ref="P43" si="6">P42/P8*1000</f>
        <v>162.81596850354259</v>
      </c>
      <c r="Q43" s="89">
        <f t="shared" si="5"/>
        <v>182.77732646611349</v>
      </c>
      <c r="R43" s="36"/>
      <c r="S43" s="36"/>
    </row>
    <row r="44" spans="2:19" s="1" customFormat="1">
      <c r="B44" s="46" t="s">
        <v>51</v>
      </c>
      <c r="C44" s="53" t="s">
        <v>289</v>
      </c>
      <c r="D44" s="43" t="s">
        <v>2</v>
      </c>
      <c r="E44" s="110">
        <v>249</v>
      </c>
      <c r="F44" s="110">
        <v>458</v>
      </c>
      <c r="G44" s="110">
        <v>499</v>
      </c>
      <c r="H44" s="110">
        <v>482</v>
      </c>
      <c r="I44" s="110">
        <v>447</v>
      </c>
      <c r="J44" s="110">
        <v>467.5</v>
      </c>
      <c r="K44" s="545">
        <f>'Indicateurs économiques - Citeo'!K134</f>
        <v>469.2</v>
      </c>
      <c r="L44" s="545">
        <f>'Indicateurs économiques - Citeo'!L134</f>
        <v>424.1</v>
      </c>
      <c r="M44" s="545">
        <f>'Indicateurs économiques - Citeo'!M134</f>
        <v>477.6</v>
      </c>
      <c r="N44" s="545">
        <f>'Indicateurs économiques - Citeo'!N134</f>
        <v>513.20000000000005</v>
      </c>
      <c r="O44" s="545">
        <f>'Indicateurs économiques - Citeo'!O134</f>
        <v>455</v>
      </c>
      <c r="P44" s="545">
        <f>'Indicateurs économiques - Citeo'!P134</f>
        <v>358.1</v>
      </c>
      <c r="Q44" s="540">
        <f>'Indicateurs économiques - Citeo'!Q134</f>
        <v>605.26626709851894</v>
      </c>
      <c r="R44" s="36"/>
      <c r="S44" s="36"/>
    </row>
    <row r="45" spans="2:19" s="1" customFormat="1" ht="15" thickBot="1">
      <c r="B45" s="75" t="s">
        <v>52</v>
      </c>
      <c r="C45" s="76" t="s">
        <v>289</v>
      </c>
      <c r="D45" s="77" t="s">
        <v>2</v>
      </c>
      <c r="E45" s="90">
        <v>341</v>
      </c>
      <c r="F45" s="90">
        <v>575</v>
      </c>
      <c r="G45" s="90">
        <v>665</v>
      </c>
      <c r="H45" s="90">
        <v>666</v>
      </c>
      <c r="I45" s="90">
        <v>612</v>
      </c>
      <c r="J45" s="90">
        <v>637</v>
      </c>
      <c r="K45" s="482">
        <f>'Indicateurs économiques - Citeo'!K135</f>
        <v>589.5</v>
      </c>
      <c r="L45" s="482">
        <f>'Indicateurs économiques - Citeo'!L135</f>
        <v>526.43280000000004</v>
      </c>
      <c r="M45" s="482">
        <f>'Indicateurs économiques - Citeo'!M135</f>
        <v>596.29999999999995</v>
      </c>
      <c r="N45" s="482">
        <f>'Indicateurs économiques - Citeo'!N135</f>
        <v>635</v>
      </c>
      <c r="O45" s="482">
        <f>'Indicateurs économiques - Citeo'!O135</f>
        <v>485.4</v>
      </c>
      <c r="P45" s="482">
        <f>'Indicateurs économiques - Citeo'!P135</f>
        <v>230.7</v>
      </c>
      <c r="Q45" s="541">
        <f>'Indicateurs économiques - Citeo'!Q135</f>
        <v>650.20000000000005</v>
      </c>
      <c r="R45" s="36"/>
      <c r="S45" s="36"/>
    </row>
    <row r="46" spans="2:19" s="1" customFormat="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2:19" s="1" customFormat="1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2:19" s="1" customForma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2:19" s="1" customFormat="1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2:19" s="1" customFormat="1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2:19" s="1" customFormat="1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2:19" s="1" customFormat="1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2:19" s="1" customFormat="1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2:19" s="1" customFormat="1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2:19" s="1" customFormat="1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2:19" s="1" customFormat="1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2:19" s="1" customForma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2:19" s="1" customFormat="1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2:19" s="1" customFormat="1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spans="2:19" s="1" customFormat="1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</row>
    <row r="61" spans="2:19" s="1" customFormat="1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</row>
    <row r="62" spans="2:19" s="1" customFormat="1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2:19" s="1" customFormat="1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2:19" s="1" customFormat="1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2:19" s="1" customFormat="1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2:19" s="1" customFormat="1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</row>
    <row r="67" spans="2:19" s="1" customFormat="1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</row>
    <row r="68" spans="2:19" s="1" customFormat="1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2:19" s="1" customFormat="1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2:19" s="1" customFormat="1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2:19" s="1" customFormat="1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2:19" s="1" customFormat="1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2:19" s="1" customFormat="1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2:19" s="1" customFormat="1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</row>
    <row r="75" spans="2:19" s="1" customFormat="1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</row>
    <row r="76" spans="2:19" s="1" customFormat="1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</row>
    <row r="77" spans="2:19" s="1" customFormat="1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</row>
    <row r="78" spans="2:19" s="1" customFormat="1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</row>
    <row r="79" spans="2:19" s="1" customFormat="1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</row>
    <row r="80" spans="2:19" s="1" customFormat="1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</row>
    <row r="81" spans="2:19" s="1" customFormat="1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2:19" s="1" customFormat="1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</row>
    <row r="83" spans="2:19" s="1" customFormat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</row>
    <row r="84" spans="2:19" s="1" customFormat="1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</row>
    <row r="85" spans="2:19" s="1" customForma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</row>
    <row r="86" spans="2:19" s="1" customFormat="1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</row>
    <row r="87" spans="2:19" s="1" customFormat="1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</row>
    <row r="88" spans="2:19" s="1" customFormat="1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</row>
    <row r="89" spans="2:19" s="1" customFormat="1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</row>
    <row r="90" spans="2:19" s="1" customFormat="1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2:19" s="1" customFormat="1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</row>
    <row r="92" spans="2:19" s="1" customFormat="1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</row>
    <row r="93" spans="2:19" s="1" customFormat="1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2:19" s="1" customFormat="1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2:19" s="1" customFormat="1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2:19" s="1" customFormat="1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2:19" s="1" customFormat="1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</row>
    <row r="98" spans="2:19" s="1" customFormat="1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2:19" s="1" customFormat="1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</row>
    <row r="100" spans="2:19" s="1" customForma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2:19" s="1" customForma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2:19" s="1" customForma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2:19" s="1" customForma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</row>
    <row r="104" spans="2:19" s="1" customForma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2:19" s="1" customForma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2:19" s="1" customForma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2:19" s="1" customForma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2:19" s="1" customForma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2:19" s="1" customForma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spans="2:19" s="1" customForma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</row>
    <row r="111" spans="2:19" s="1" customForma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</row>
    <row r="112" spans="2:19" s="1" customForma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</row>
    <row r="113" spans="2:19" s="1" customForma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2:19" s="1" customForma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2:19" s="1" customForma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2:19" s="1" customForma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2:19" s="1" customForma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2:19" s="1" customForma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2:19" s="1" customForma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2:19" s="1" customFormat="1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2:19" s="1" customFormat="1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2:19" s="1" customFormat="1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2:19" s="1" customFormat="1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2:19" s="1" customFormat="1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2:19" s="1" customFormat="1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2:19" s="1" customForma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2:19" s="1" customFormat="1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2:19" s="1" customFormat="1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2:19" s="1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2:19" s="1" customFormat="1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2:19" s="1" customFormat="1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2:19" s="1" customFormat="1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2:19" s="1" customFormat="1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2:19" s="1" customFormat="1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</row>
    <row r="135" spans="2:19" s="1" customFormat="1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</row>
    <row r="136" spans="2:19" s="1" customFormat="1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2:19" s="1" customFormat="1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</row>
    <row r="138" spans="2:19" s="1" customFormat="1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2:19" s="1" customFormat="1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2:19" s="1" customFormat="1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2:19" s="1" customFormat="1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2:19" s="1" customFormat="1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2:19" s="1" customForma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2:19" s="1" customFormat="1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2:19" s="1" customFormat="1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2:19" s="1" customFormat="1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2:19" s="1" customFormat="1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2:19" s="1" customFormat="1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2:19" s="1" customFormat="1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2:19" s="1" customFormat="1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2:19" s="1" customFormat="1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2:19" s="1" customFormat="1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2:19" s="1" customFormat="1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2:19" s="1" customFormat="1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</row>
    <row r="155" spans="2:19" s="1" customFormat="1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2:19" s="1" customForma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2:19" s="1" customFormat="1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2:19" s="1" customFormat="1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2:19" s="1" customFormat="1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</row>
    <row r="160" spans="2:19" s="1" customFormat="1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2:19" s="1" customFormat="1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2:19" s="1" customFormat="1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</row>
    <row r="163" spans="2:19" s="1" customFormat="1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2:19" s="1" customFormat="1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2:19" s="1" customFormat="1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2:19" s="1" customFormat="1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2:19" s="1" customFormat="1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2:19" s="1" customFormat="1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2:19" s="1" customForma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2:19" s="1" customFormat="1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2:19" s="1" customFormat="1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2:19" s="1" customFormat="1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2:19" s="1" customFormat="1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2:19" s="1" customFormat="1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spans="2:19" s="1" customFormat="1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</row>
    <row r="176" spans="2:19" s="1" customFormat="1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</row>
    <row r="177" spans="2:19" s="1" customFormat="1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</row>
    <row r="178" spans="2:19" s="1" customFormat="1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</row>
    <row r="179" spans="2:19" s="1" customFormat="1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</row>
    <row r="180" spans="2:19" s="1" customFormat="1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</row>
    <row r="181" spans="2:19" s="1" customFormat="1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</row>
    <row r="182" spans="2:19" s="1" customFormat="1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</row>
    <row r="183" spans="2:19" s="1" customFormat="1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</row>
    <row r="184" spans="2:19" s="1" customFormat="1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</row>
    <row r="185" spans="2:19" s="1" customFormat="1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</row>
    <row r="186" spans="2:19" s="1" customForma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2:19" s="1" customFormat="1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</row>
    <row r="188" spans="2:19" s="1" customFormat="1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</row>
    <row r="189" spans="2:19" s="1" customFormat="1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</row>
    <row r="190" spans="2:19" s="1" customFormat="1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</row>
    <row r="191" spans="2:19" s="1" customFormat="1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</row>
    <row r="192" spans="2:19" s="1" customFormat="1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</row>
    <row r="193" spans="2:19" s="1" customFormat="1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</row>
    <row r="194" spans="2:19" s="1" customFormat="1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</row>
    <row r="195" spans="2:19" s="1" customFormat="1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</row>
    <row r="196" spans="2:19" s="1" customFormat="1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spans="2:19" s="1" customFormat="1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</row>
    <row r="198" spans="2:19" s="1" customFormat="1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</row>
    <row r="199" spans="2:19" s="1" customForma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</row>
    <row r="200" spans="2:19" s="1" customFormat="1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</row>
    <row r="201" spans="2:19" s="1" customFormat="1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</row>
    <row r="202" spans="2:19" s="1" customFormat="1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</row>
    <row r="203" spans="2:19" s="1" customFormat="1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</row>
    <row r="204" spans="2:19" s="1" customFormat="1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</row>
    <row r="205" spans="2:19" s="1" customFormat="1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</row>
    <row r="206" spans="2:19" s="1" customFormat="1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</row>
    <row r="207" spans="2:19" s="1" customFormat="1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</row>
    <row r="208" spans="2:19" s="1" customFormat="1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</row>
    <row r="209" spans="2:19" s="1" customFormat="1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</row>
    <row r="210" spans="2:19" s="1" customFormat="1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</row>
    <row r="211" spans="2:19" s="1" customFormat="1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</row>
    <row r="212" spans="2:19" s="1" customForma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</row>
    <row r="213" spans="2:19" s="1" customFormat="1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</row>
    <row r="214" spans="2:19" s="1" customFormat="1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</row>
    <row r="215" spans="2:19" s="1" customFormat="1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</row>
    <row r="216" spans="2:19" s="1" customFormat="1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</row>
    <row r="217" spans="2:19" s="1" customFormat="1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</row>
    <row r="218" spans="2:19" s="1" customFormat="1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</row>
    <row r="219" spans="2:19" s="1" customFormat="1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</row>
    <row r="220" spans="2:19" s="1" customFormat="1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</row>
    <row r="221" spans="2:19" s="1" customFormat="1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</row>
    <row r="222" spans="2:19" s="1" customFormat="1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</row>
    <row r="223" spans="2:19" s="1" customFormat="1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</row>
    <row r="224" spans="2:19" s="1" customFormat="1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</row>
    <row r="225" spans="2:19" s="1" customFormat="1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</row>
    <row r="226" spans="2:19" s="1" customFormat="1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</row>
    <row r="227" spans="2:19" s="1" customFormat="1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</row>
    <row r="228" spans="2:19" s="1" customFormat="1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</row>
    <row r="229" spans="2:19" s="1" customForma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</row>
    <row r="230" spans="2:19" s="1" customFormat="1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</row>
    <row r="231" spans="2:19" s="1" customFormat="1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</row>
    <row r="232" spans="2:19" s="1" customFormat="1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</row>
    <row r="233" spans="2:19" s="1" customFormat="1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</row>
    <row r="234" spans="2:19" s="1" customFormat="1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</row>
    <row r="235" spans="2:19" s="1" customFormat="1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</row>
    <row r="236" spans="2:19" s="1" customFormat="1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</row>
    <row r="237" spans="2:19" s="1" customFormat="1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</row>
    <row r="238" spans="2:19" s="1" customFormat="1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</row>
    <row r="239" spans="2:19" s="1" customFormat="1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</row>
    <row r="240" spans="2:19" s="1" customFormat="1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</row>
    <row r="241" spans="2:19" s="1" customFormat="1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</row>
    <row r="242" spans="2:19" s="1" customForma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</row>
    <row r="243" spans="2:19" s="1" customFormat="1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</row>
    <row r="244" spans="2:19" s="1" customFormat="1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</row>
    <row r="245" spans="2:19" s="1" customFormat="1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</row>
    <row r="246" spans="2:19" s="1" customFormat="1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</row>
    <row r="247" spans="2:19" s="1" customFormat="1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</row>
    <row r="248" spans="2:19" s="1" customFormat="1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</row>
    <row r="249" spans="2:19" s="1" customFormat="1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</row>
    <row r="250" spans="2:19" s="1" customFormat="1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</row>
    <row r="251" spans="2:19" s="1" customFormat="1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</row>
    <row r="252" spans="2:19" s="1" customFormat="1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</row>
    <row r="253" spans="2:19" s="1" customFormat="1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</row>
    <row r="254" spans="2:19" s="1" customFormat="1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</row>
    <row r="255" spans="2:19" s="1" customForma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</row>
    <row r="256" spans="2:19" s="1" customFormat="1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</row>
    <row r="257" spans="2:19" s="1" customFormat="1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</row>
    <row r="258" spans="2:19" s="1" customFormat="1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</row>
    <row r="259" spans="2:19" s="1" customFormat="1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</row>
    <row r="260" spans="2:19" s="1" customFormat="1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</row>
    <row r="261" spans="2:19" s="1" customFormat="1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</row>
    <row r="262" spans="2:19" s="1" customFormat="1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</row>
    <row r="263" spans="2:19" s="1" customFormat="1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</row>
    <row r="264" spans="2:19" s="1" customFormat="1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</row>
    <row r="265" spans="2:19" s="1" customFormat="1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</row>
    <row r="266" spans="2:19" s="1" customFormat="1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</row>
    <row r="267" spans="2:19" s="1" customFormat="1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</row>
    <row r="268" spans="2:19" s="1" customFormat="1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</row>
    <row r="269" spans="2:19" s="1" customFormat="1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</row>
    <row r="270" spans="2:19" s="1" customFormat="1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</row>
    <row r="271" spans="2:19" s="1" customFormat="1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</row>
    <row r="272" spans="2:19" s="1" customForma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</row>
    <row r="273" spans="2:19" s="1" customFormat="1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</row>
    <row r="274" spans="2:19" s="1" customFormat="1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</row>
    <row r="275" spans="2:19" s="1" customFormat="1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</row>
    <row r="276" spans="2:19" s="1" customFormat="1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</row>
    <row r="277" spans="2:19" s="1" customFormat="1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</row>
    <row r="278" spans="2:19" s="1" customFormat="1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</row>
    <row r="279" spans="2:19" s="1" customFormat="1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</row>
    <row r="280" spans="2:19" s="1" customFormat="1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</row>
    <row r="281" spans="2:19" s="1" customFormat="1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</row>
    <row r="282" spans="2:19" s="1" customFormat="1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</row>
    <row r="283" spans="2:19" s="1" customFormat="1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</row>
    <row r="284" spans="2:19" s="1" customFormat="1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</row>
    <row r="285" spans="2:19" s="1" customForma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</row>
    <row r="286" spans="2:19" s="1" customFormat="1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</row>
    <row r="287" spans="2:19" s="1" customFormat="1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</row>
    <row r="288" spans="2:19" s="1" customFormat="1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</row>
    <row r="289" spans="2:19" s="1" customFormat="1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</row>
    <row r="290" spans="2:19" s="1" customFormat="1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</row>
    <row r="291" spans="2:19" s="1" customFormat="1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</row>
    <row r="292" spans="2:19" s="1" customFormat="1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</row>
    <row r="293" spans="2:19" s="1" customFormat="1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</row>
    <row r="294" spans="2:19" s="1" customFormat="1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</row>
    <row r="295" spans="2:19" s="1" customFormat="1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</row>
    <row r="296" spans="2:19" s="1" customFormat="1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</row>
    <row r="297" spans="2:19" s="1" customFormat="1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</row>
    <row r="298" spans="2:19" s="1" customForma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</row>
    <row r="299" spans="2:19" s="1" customFormat="1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</row>
    <row r="300" spans="2:19" s="1" customFormat="1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</row>
    <row r="301" spans="2:19" s="1" customFormat="1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</row>
    <row r="302" spans="2:19" s="1" customFormat="1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</row>
    <row r="303" spans="2:19" s="1" customFormat="1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</row>
    <row r="304" spans="2:19" s="1" customFormat="1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</row>
    <row r="305" spans="2:19" s="1" customFormat="1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</row>
    <row r="306" spans="2:19" s="1" customFormat="1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</row>
    <row r="307" spans="2:19" s="1" customFormat="1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</row>
    <row r="308" spans="2:19" s="1" customFormat="1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</row>
    <row r="309" spans="2:19" s="1" customFormat="1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</row>
    <row r="310" spans="2:19" s="1" customFormat="1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</row>
    <row r="311" spans="2:19" s="1" customFormat="1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</row>
    <row r="312" spans="2:19" s="1" customFormat="1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</row>
    <row r="313" spans="2:19" s="1" customFormat="1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</row>
    <row r="314" spans="2:19" s="1" customFormat="1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</row>
    <row r="315" spans="2:19" s="1" customForma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</row>
    <row r="316" spans="2:19" s="1" customFormat="1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</row>
    <row r="317" spans="2:19" s="1" customFormat="1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</row>
    <row r="318" spans="2:19" s="1" customFormat="1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</row>
    <row r="319" spans="2:19" s="1" customFormat="1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</row>
    <row r="320" spans="2:19" s="1" customFormat="1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</row>
    <row r="321" spans="2:19" s="1" customFormat="1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</row>
    <row r="322" spans="2:19" s="1" customFormat="1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</row>
    <row r="323" spans="2:19" s="1" customFormat="1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</row>
    <row r="324" spans="2:19" s="1" customFormat="1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</row>
    <row r="325" spans="2:19" s="1" customFormat="1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</row>
    <row r="326" spans="2:19" s="1" customFormat="1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</row>
    <row r="327" spans="2:19" s="1" customFormat="1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</row>
    <row r="328" spans="2:19" s="1" customForma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</row>
    <row r="329" spans="2:19" s="1" customFormat="1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</row>
    <row r="330" spans="2:19" s="1" customFormat="1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</row>
    <row r="331" spans="2:19" s="1" customFormat="1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</row>
    <row r="332" spans="2:19" s="1" customFormat="1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</row>
    <row r="333" spans="2:19" s="1" customFormat="1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</row>
    <row r="334" spans="2:19" s="1" customFormat="1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</row>
    <row r="335" spans="2:19" s="1" customFormat="1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</row>
    <row r="336" spans="2:19" s="1" customFormat="1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</row>
    <row r="337" spans="2:19" s="1" customFormat="1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</row>
    <row r="338" spans="2:19" s="1" customFormat="1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</row>
    <row r="339" spans="2:19" s="1" customFormat="1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</row>
    <row r="340" spans="2:19" s="1" customFormat="1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</row>
    <row r="341" spans="2:19" s="1" customForma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</row>
    <row r="342" spans="2:19" s="1" customFormat="1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</row>
    <row r="343" spans="2:19" s="1" customFormat="1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</row>
    <row r="344" spans="2:19" s="1" customFormat="1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</row>
    <row r="345" spans="2:19" s="1" customFormat="1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</row>
    <row r="346" spans="2:19" s="1" customFormat="1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</row>
    <row r="347" spans="2:19" s="1" customFormat="1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</row>
    <row r="348" spans="2:19" s="1" customFormat="1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</row>
    <row r="349" spans="2:19" s="1" customFormat="1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</row>
    <row r="350" spans="2:19" s="1" customFormat="1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</row>
    <row r="351" spans="2:19" s="1" customFormat="1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</row>
    <row r="352" spans="2:19" s="1" customFormat="1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</row>
    <row r="353" spans="2:19" s="1" customFormat="1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</row>
    <row r="354" spans="2:19" s="1" customFormat="1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</row>
    <row r="355" spans="2:19" s="1" customFormat="1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</row>
    <row r="356" spans="2:19" s="1" customFormat="1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</row>
    <row r="357" spans="2:19" s="1" customFormat="1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</row>
    <row r="358" spans="2:19" s="1" customForma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</row>
    <row r="359" spans="2:19" s="1" customFormat="1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</row>
    <row r="360" spans="2:19" s="1" customFormat="1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</row>
    <row r="361" spans="2:19" s="1" customFormat="1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</row>
    <row r="362" spans="2:19" s="1" customFormat="1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</row>
    <row r="363" spans="2:19" s="1" customFormat="1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</row>
    <row r="364" spans="2:19" s="1" customFormat="1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</row>
    <row r="365" spans="2:19" s="1" customFormat="1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2:19" s="1" customFormat="1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</row>
    <row r="367" spans="2:19" s="1" customFormat="1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</row>
    <row r="368" spans="2:19" s="1" customFormat="1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</row>
    <row r="369" spans="2:19" s="1" customFormat="1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</row>
    <row r="370" spans="2:19" s="1" customFormat="1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</row>
    <row r="371" spans="2:19" s="1" customForma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</row>
    <row r="372" spans="2:19" s="1" customFormat="1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</row>
    <row r="373" spans="2:19" s="1" customFormat="1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</row>
    <row r="374" spans="2:19" s="1" customFormat="1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</row>
    <row r="375" spans="2:19" s="1" customFormat="1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</row>
    <row r="376" spans="2:19" s="1" customFormat="1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</row>
    <row r="377" spans="2:19" s="1" customFormat="1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</row>
    <row r="378" spans="2:19" s="1" customFormat="1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</row>
    <row r="379" spans="2:19" s="1" customFormat="1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</row>
    <row r="380" spans="2:19" s="1" customFormat="1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</row>
    <row r="381" spans="2:19" s="1" customFormat="1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</row>
    <row r="382" spans="2:19" s="1" customFormat="1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</row>
    <row r="383" spans="2:19" s="1" customFormat="1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</row>
    <row r="384" spans="2:19" s="1" customForma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</row>
    <row r="385" spans="2:19" s="1" customFormat="1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</row>
    <row r="386" spans="2:19" s="1" customFormat="1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</row>
    <row r="387" spans="2:19" s="1" customFormat="1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</row>
    <row r="388" spans="2:19" s="1" customFormat="1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</row>
    <row r="389" spans="2:19" s="1" customFormat="1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</row>
    <row r="390" spans="2:19" s="1" customFormat="1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</row>
    <row r="391" spans="2:19" s="1" customFormat="1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</row>
    <row r="392" spans="2:19" s="1" customFormat="1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</row>
    <row r="393" spans="2:19" s="1" customFormat="1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</row>
    <row r="394" spans="2:19" s="1" customFormat="1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</row>
    <row r="395" spans="2:19" s="1" customFormat="1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</row>
    <row r="396" spans="2:19" s="1" customFormat="1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</row>
    <row r="397" spans="2:19" s="1" customFormat="1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</row>
    <row r="398" spans="2:19" s="1" customFormat="1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</row>
    <row r="399" spans="2:19" s="1" customFormat="1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</row>
    <row r="400" spans="2:19" s="1" customFormat="1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</row>
    <row r="401" spans="2:19" s="1" customForma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</row>
    <row r="402" spans="2:19" s="1" customFormat="1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</row>
    <row r="403" spans="2:19" s="1" customFormat="1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</row>
    <row r="404" spans="2:19" s="1" customFormat="1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</row>
    <row r="405" spans="2:19" s="1" customFormat="1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</row>
    <row r="406" spans="2:19" s="1" customFormat="1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</row>
    <row r="407" spans="2:19" s="1" customFormat="1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</row>
    <row r="408" spans="2:19" s="1" customFormat="1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</row>
    <row r="409" spans="2:19" s="1" customFormat="1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</row>
    <row r="410" spans="2:19" s="1" customFormat="1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</row>
    <row r="411" spans="2:19" s="1" customFormat="1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</row>
    <row r="412" spans="2:19" s="1" customFormat="1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</row>
    <row r="413" spans="2:19" s="1" customFormat="1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</row>
    <row r="414" spans="2:19" s="1" customForma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</row>
    <row r="415" spans="2:19" s="1" customFormat="1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</row>
    <row r="416" spans="2:19" s="1" customFormat="1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</row>
    <row r="417" spans="2:19" s="1" customFormat="1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</row>
    <row r="418" spans="2:19" s="1" customFormat="1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</row>
    <row r="419" spans="2:19" s="1" customFormat="1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</row>
    <row r="420" spans="2:19" s="1" customFormat="1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</row>
    <row r="421" spans="2:19" s="1" customFormat="1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</row>
    <row r="422" spans="2:19" s="1" customFormat="1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</row>
    <row r="423" spans="2:19" s="1" customFormat="1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</row>
    <row r="424" spans="2:19" s="1" customFormat="1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</row>
    <row r="425" spans="2:19" s="1" customFormat="1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</row>
    <row r="426" spans="2:19" s="1" customFormat="1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</row>
    <row r="427" spans="2:19" s="1" customForma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</row>
    <row r="428" spans="2:19" s="1" customFormat="1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</row>
    <row r="429" spans="2:19" s="1" customFormat="1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</row>
    <row r="430" spans="2:19" s="1" customFormat="1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</row>
    <row r="431" spans="2:19" s="1" customFormat="1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</row>
    <row r="432" spans="2:19" s="1" customFormat="1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</row>
    <row r="433" spans="2:19" s="1" customFormat="1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</row>
    <row r="434" spans="2:19" s="1" customFormat="1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</row>
    <row r="435" spans="2:19" s="1" customFormat="1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</row>
    <row r="436" spans="2:19" s="1" customFormat="1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</row>
    <row r="437" spans="2:19" s="1" customFormat="1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</row>
    <row r="438" spans="2:19" s="1" customFormat="1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</row>
    <row r="439" spans="2:19" s="1" customFormat="1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</row>
    <row r="440" spans="2:19" s="1" customFormat="1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</row>
    <row r="441" spans="2:19" s="1" customFormat="1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</row>
    <row r="442" spans="2:19" s="1" customFormat="1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</row>
    <row r="443" spans="2:19" s="1" customFormat="1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</row>
    <row r="444" spans="2:19" s="1" customForma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</row>
    <row r="445" spans="2:19" s="1" customFormat="1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</row>
    <row r="446" spans="2:19" s="1" customFormat="1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</row>
    <row r="447" spans="2:19" s="1" customFormat="1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</row>
    <row r="448" spans="2:19" s="1" customFormat="1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</row>
    <row r="449" spans="2:19" s="1" customFormat="1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</row>
    <row r="450" spans="2:19" s="1" customFormat="1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</row>
    <row r="451" spans="2:19" s="1" customFormat="1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</row>
    <row r="452" spans="2:19" s="1" customFormat="1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</row>
    <row r="453" spans="2:19" s="1" customFormat="1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</row>
    <row r="454" spans="2:19" s="1" customFormat="1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</row>
    <row r="455" spans="2:19" s="1" customFormat="1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</row>
    <row r="456" spans="2:19" s="1" customFormat="1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</row>
    <row r="457" spans="2:19" s="1" customForma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</row>
    <row r="458" spans="2:19" s="1" customFormat="1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</row>
    <row r="459" spans="2:19" s="1" customFormat="1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</row>
    <row r="460" spans="2:19" s="1" customFormat="1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</row>
    <row r="461" spans="2:19" s="1" customFormat="1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</row>
    <row r="462" spans="2:19" s="1" customFormat="1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</row>
    <row r="463" spans="2:19" s="1" customFormat="1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</row>
    <row r="464" spans="2:19" s="1" customFormat="1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</row>
    <row r="465" spans="2:19" s="1" customFormat="1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</row>
    <row r="466" spans="2:19" s="1" customFormat="1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</row>
    <row r="467" spans="2:19" s="1" customFormat="1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</row>
    <row r="468" spans="2:19" s="1" customFormat="1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</row>
    <row r="469" spans="2:19" s="1" customFormat="1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</row>
    <row r="470" spans="2:19" s="1" customForma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</row>
    <row r="471" spans="2:19" s="1" customFormat="1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</row>
    <row r="472" spans="2:19" s="1" customFormat="1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</row>
    <row r="473" spans="2:19" s="1" customFormat="1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</row>
    <row r="474" spans="2:19" s="1" customFormat="1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</row>
    <row r="475" spans="2:19" s="1" customFormat="1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</row>
    <row r="476" spans="2:19" s="1" customFormat="1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</row>
    <row r="477" spans="2:19" s="1" customFormat="1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</row>
    <row r="478" spans="2:19" s="1" customFormat="1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</row>
    <row r="479" spans="2:19" s="1" customFormat="1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</row>
    <row r="480" spans="2:19" s="1" customFormat="1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</row>
    <row r="481" spans="2:19" s="1" customFormat="1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</row>
    <row r="482" spans="2:19" s="1" customFormat="1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</row>
    <row r="483" spans="2:19" s="1" customFormat="1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</row>
    <row r="484" spans="2:19" s="1" customFormat="1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</row>
    <row r="485" spans="2:19" s="1" customFormat="1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</row>
    <row r="486" spans="2:19" s="1" customFormat="1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</row>
    <row r="487" spans="2:19" s="1" customFormat="1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</row>
    <row r="488" spans="2:19" s="1" customFormat="1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</row>
    <row r="489" spans="2:19" s="1" customFormat="1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</row>
    <row r="490" spans="2:19" s="1" customFormat="1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</row>
    <row r="491" spans="2:19" s="1" customFormat="1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</row>
    <row r="492" spans="2:19" s="1" customFormat="1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</row>
    <row r="493" spans="2:19" s="1" customFormat="1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</row>
    <row r="494" spans="2:19" s="1" customFormat="1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</row>
    <row r="495" spans="2:19" s="1" customFormat="1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</row>
    <row r="496" spans="2:19" s="1" customFormat="1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</row>
    <row r="497" spans="2:19" s="1" customFormat="1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</row>
    <row r="498" spans="2:19" s="1" customFormat="1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</row>
    <row r="499" spans="2:19" s="1" customFormat="1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</row>
    <row r="500" spans="2:19" s="1" customFormat="1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</row>
    <row r="501" spans="2:19" s="1" customFormat="1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</row>
    <row r="502" spans="2:19" s="1" customFormat="1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</row>
    <row r="503" spans="2:19" s="1" customFormat="1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</row>
    <row r="504" spans="2:19" s="1" customFormat="1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</row>
    <row r="505" spans="2:19" s="1" customFormat="1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</row>
    <row r="506" spans="2:19" s="1" customFormat="1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</row>
    <row r="507" spans="2:19" s="1" customFormat="1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</row>
    <row r="508" spans="2:19" s="1" customFormat="1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</row>
    <row r="509" spans="2:19" s="1" customFormat="1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</row>
    <row r="510" spans="2:19" s="1" customFormat="1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</row>
    <row r="511" spans="2:19" s="1" customFormat="1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</row>
    <row r="512" spans="2:19" s="1" customFormat="1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</row>
    <row r="513" spans="2:19" s="1" customFormat="1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</row>
    <row r="514" spans="2:19" s="1" customFormat="1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</row>
    <row r="515" spans="2:19" s="1" customFormat="1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</row>
    <row r="516" spans="2:19" s="1" customFormat="1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</row>
    <row r="517" spans="2:19" s="1" customFormat="1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</row>
    <row r="518" spans="2:19" s="1" customFormat="1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</row>
    <row r="519" spans="2:19" s="1" customFormat="1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</row>
  </sheetData>
  <sheetProtection algorithmName="SHA-512" hashValue="I9iPpPAfWF8gQlNanwop3y3CqYFOh4Npia4XVoxs6LjxbOuDsXAaDL2esqOuRd8NvT9ZOITwtszPYOI2MZ/d1Q==" saltValue="4hGT6CR3adir2yZjr0RbOg==" spinCount="100000" sheet="1" scenarios="1"/>
  <mergeCells count="4">
    <mergeCell ref="B6:Q6"/>
    <mergeCell ref="B19:Q19"/>
    <mergeCell ref="B27:Q27"/>
    <mergeCell ref="B39:Q39"/>
  </mergeCells>
  <conditionalFormatting sqref="C40:C45">
    <cfRule type="cellIs" dxfId="74" priority="13" operator="equal">
      <formula>"SYDEREP"</formula>
    </cfRule>
    <cfRule type="cellIs" dxfId="73" priority="14" operator="equal">
      <formula>"Calcul"</formula>
    </cfRule>
    <cfRule type="cellIs" dxfId="72" priority="15" operator="equal">
      <formula>"EO"</formula>
    </cfRule>
  </conditionalFormatting>
  <conditionalFormatting sqref="C7:C14">
    <cfRule type="cellIs" dxfId="71" priority="10" operator="equal">
      <formula>"SYDEREP"</formula>
    </cfRule>
    <cfRule type="cellIs" dxfId="70" priority="11" operator="equal">
      <formula>"Calcul"</formula>
    </cfRule>
    <cfRule type="cellIs" dxfId="69" priority="12" operator="equal">
      <formula>"EO"</formula>
    </cfRule>
  </conditionalFormatting>
  <conditionalFormatting sqref="C20:C26">
    <cfRule type="cellIs" dxfId="68" priority="7" operator="equal">
      <formula>"SYDEREP"</formula>
    </cfRule>
    <cfRule type="cellIs" dxfId="67" priority="8" operator="equal">
      <formula>"Calcul"</formula>
    </cfRule>
    <cfRule type="cellIs" dxfId="66" priority="9" operator="equal">
      <formula>"EO"</formula>
    </cfRule>
  </conditionalFormatting>
  <conditionalFormatting sqref="C28:C33">
    <cfRule type="cellIs" dxfId="65" priority="4" operator="equal">
      <formula>"SYDEREP"</formula>
    </cfRule>
    <cfRule type="cellIs" dxfId="64" priority="5" operator="equal">
      <formula>"Calcul"</formula>
    </cfRule>
    <cfRule type="cellIs" dxfId="63" priority="6" operator="equal">
      <formula>"EO"</formula>
    </cfRule>
  </conditionalFormatting>
  <conditionalFormatting sqref="C34">
    <cfRule type="cellIs" dxfId="62" priority="1" operator="equal">
      <formula>"SYDEREP"</formula>
    </cfRule>
    <cfRule type="cellIs" dxfId="61" priority="2" operator="equal">
      <formula>"Calcul"</formula>
    </cfRule>
    <cfRule type="cellIs" dxfId="60" priority="3" operator="equal">
      <formula>"EO"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AX535"/>
  <sheetViews>
    <sheetView zoomScale="80" zoomScaleNormal="80" workbookViewId="0"/>
  </sheetViews>
  <sheetFormatPr baseColWidth="10" defaultRowHeight="14.5"/>
  <cols>
    <col min="1" max="1" width="10.54296875" style="1"/>
    <col min="2" max="2" width="63.81640625" style="83" customWidth="1"/>
    <col min="3" max="3" width="17.453125" style="83" customWidth="1"/>
    <col min="4" max="4" width="6.453125" style="83" bestFit="1" customWidth="1"/>
    <col min="5" max="13" width="11.54296875" style="83"/>
    <col min="14" max="14" width="11.54296875" style="83" customWidth="1"/>
    <col min="15" max="17" width="11.54296875" style="36" customWidth="1"/>
    <col min="18" max="18" width="10.54296875" style="36"/>
    <col min="19" max="19" width="11.453125" style="36" customWidth="1"/>
    <col min="20" max="32" width="10.54296875" style="1"/>
  </cols>
  <sheetData>
    <row r="1" spans="2:46" s="1" customFormat="1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46" ht="23">
      <c r="B2" s="37" t="s">
        <v>83</v>
      </c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2:46" ht="1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2:46" ht="18">
      <c r="B4" s="38" t="s">
        <v>7</v>
      </c>
      <c r="C4" s="39" t="s">
        <v>140</v>
      </c>
      <c r="D4" s="39" t="s">
        <v>0</v>
      </c>
      <c r="E4" s="40">
        <v>2009</v>
      </c>
      <c r="F4" s="40">
        <v>2010</v>
      </c>
      <c r="G4" s="40">
        <v>2011</v>
      </c>
      <c r="H4" s="40">
        <v>2012</v>
      </c>
      <c r="I4" s="40">
        <v>2013</v>
      </c>
      <c r="J4" s="40">
        <v>2014</v>
      </c>
      <c r="K4" s="40">
        <v>2015</v>
      </c>
      <c r="L4" s="40">
        <v>2016</v>
      </c>
      <c r="M4" s="40">
        <v>2017</v>
      </c>
      <c r="N4" s="40">
        <v>2018</v>
      </c>
      <c r="O4" s="40">
        <v>2019</v>
      </c>
      <c r="P4" s="434">
        <v>2020</v>
      </c>
      <c r="Q4" s="41">
        <v>2021</v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2:46">
      <c r="B5" s="42" t="s">
        <v>6</v>
      </c>
      <c r="C5" s="43"/>
      <c r="D5" s="43"/>
      <c r="E5" s="44">
        <v>2010</v>
      </c>
      <c r="F5" s="44">
        <v>2011</v>
      </c>
      <c r="G5" s="44">
        <v>2012</v>
      </c>
      <c r="H5" s="44">
        <v>2013</v>
      </c>
      <c r="I5" s="44">
        <v>2014</v>
      </c>
      <c r="J5" s="44">
        <v>2015</v>
      </c>
      <c r="K5" s="44">
        <v>2016</v>
      </c>
      <c r="L5" s="44">
        <v>2017</v>
      </c>
      <c r="M5" s="44">
        <v>2018</v>
      </c>
      <c r="N5" s="44">
        <v>2019</v>
      </c>
      <c r="O5" s="44">
        <v>2020</v>
      </c>
      <c r="P5" s="533">
        <v>2021</v>
      </c>
      <c r="Q5" s="45">
        <v>2022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2:46" ht="30" customHeight="1">
      <c r="B6" s="654" t="s">
        <v>47</v>
      </c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6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2:46" s="1" customFormat="1">
      <c r="B7" s="46" t="s">
        <v>85</v>
      </c>
      <c r="C7" s="47" t="s">
        <v>123</v>
      </c>
      <c r="D7" s="43" t="s">
        <v>11</v>
      </c>
      <c r="E7" s="50">
        <f>E8+E9</f>
        <v>903.75209910993601</v>
      </c>
      <c r="F7" s="50">
        <f t="shared" ref="F7:O7" si="0">F8+F9</f>
        <v>921.27938728234665</v>
      </c>
      <c r="G7" s="50">
        <f t="shared" si="0"/>
        <v>948.32392209140596</v>
      </c>
      <c r="H7" s="50">
        <f t="shared" si="0"/>
        <v>1017.3767245442259</v>
      </c>
      <c r="I7" s="50">
        <f t="shared" si="0"/>
        <v>1024.6331260001339</v>
      </c>
      <c r="J7" s="50">
        <f t="shared" si="0"/>
        <v>1047.4329692294398</v>
      </c>
      <c r="K7" s="50">
        <f t="shared" si="0"/>
        <v>1052.3337747917224</v>
      </c>
      <c r="L7" s="50">
        <f t="shared" si="0"/>
        <v>1091.8964201675351</v>
      </c>
      <c r="M7" s="50">
        <f t="shared" si="0"/>
        <v>1120.2177878160846</v>
      </c>
      <c r="N7" s="50">
        <f t="shared" si="0"/>
        <v>1136.6841911875383</v>
      </c>
      <c r="O7" s="50">
        <f t="shared" si="0"/>
        <v>1149.3596709999999</v>
      </c>
      <c r="P7" s="546">
        <f t="shared" ref="P7" si="1">P8+P9</f>
        <v>1168.2691379999997</v>
      </c>
      <c r="Q7" s="51">
        <f>Q8+Q9</f>
        <v>1157.8295030000002</v>
      </c>
      <c r="R7" s="36"/>
      <c r="S7" s="36"/>
    </row>
    <row r="8" spans="2:46" s="1" customFormat="1" ht="17.5">
      <c r="B8" s="52" t="s">
        <v>254</v>
      </c>
      <c r="C8" s="47" t="s">
        <v>141</v>
      </c>
      <c r="D8" s="43" t="s">
        <v>11</v>
      </c>
      <c r="E8" s="48">
        <f>'Mise sur le marché'!E19</f>
        <v>91</v>
      </c>
      <c r="F8" s="48">
        <f>'Mise sur le marché'!F19</f>
        <v>90.483223289680595</v>
      </c>
      <c r="G8" s="48">
        <f>'Mise sur le marché'!G19</f>
        <v>87.895199596779165</v>
      </c>
      <c r="H8" s="48">
        <f>'Mise sur le marché'!H19</f>
        <v>89.639509356145766</v>
      </c>
      <c r="I8" s="48">
        <f>'Mise sur le marché'!I19</f>
        <v>87.120565045498438</v>
      </c>
      <c r="J8" s="48">
        <f>'Mise sur le marché'!J19</f>
        <v>85.976497622104091</v>
      </c>
      <c r="K8" s="48">
        <f>'Mise sur le marché'!K19</f>
        <v>81.868647168161544</v>
      </c>
      <c r="L8" s="48">
        <f>'Mise sur le marché'!L19</f>
        <v>78.880411728501869</v>
      </c>
      <c r="M8" s="48">
        <f>'Mise sur le marché'!M19</f>
        <v>75.502446351498108</v>
      </c>
      <c r="N8" s="48">
        <f>'Mise sur le marché'!N19</f>
        <v>71.968170378998295</v>
      </c>
      <c r="O8" s="48">
        <f>'Mise sur le marché'!O19</f>
        <v>68.700779999999995</v>
      </c>
      <c r="P8" s="536">
        <f>'Mise sur le marché'!P19</f>
        <v>72.694645999999992</v>
      </c>
      <c r="Q8" s="49">
        <f>'Mise sur le marché'!Q19</f>
        <v>69.776885000000007</v>
      </c>
      <c r="R8" s="36"/>
      <c r="S8" s="36"/>
    </row>
    <row r="9" spans="2:46" s="1" customFormat="1" ht="17.5">
      <c r="B9" s="52" t="s">
        <v>255</v>
      </c>
      <c r="C9" s="53" t="s">
        <v>141</v>
      </c>
      <c r="D9" s="43" t="s">
        <v>11</v>
      </c>
      <c r="E9" s="48">
        <f>'Mise sur le marché'!E20</f>
        <v>812.75209910993601</v>
      </c>
      <c r="F9" s="48">
        <f>'Mise sur le marché'!F20</f>
        <v>830.79616399266604</v>
      </c>
      <c r="G9" s="48">
        <f>'Mise sur le marché'!G20</f>
        <v>860.42872249462675</v>
      </c>
      <c r="H9" s="48">
        <f>'Mise sur le marché'!H20</f>
        <v>927.7372151880802</v>
      </c>
      <c r="I9" s="48">
        <f>'Mise sur le marché'!I20</f>
        <v>937.51256095463532</v>
      </c>
      <c r="J9" s="48">
        <f>'Mise sur le marché'!J20</f>
        <v>961.45647160733574</v>
      </c>
      <c r="K9" s="48">
        <f>'Mise sur le marché'!K20</f>
        <v>970.46512762356076</v>
      </c>
      <c r="L9" s="48">
        <f>'Mise sur le marché'!L20</f>
        <v>1013.0160084390333</v>
      </c>
      <c r="M9" s="48">
        <f>'Mise sur le marché'!M20</f>
        <v>1044.7153414645866</v>
      </c>
      <c r="N9" s="48">
        <f>'Mise sur le marché'!N20</f>
        <v>1064.71602080854</v>
      </c>
      <c r="O9" s="48">
        <f>'Mise sur le marché'!O20</f>
        <v>1080.658891</v>
      </c>
      <c r="P9" s="536">
        <f>'Mise sur le marché'!P20+'Mise sur le marché'!P21</f>
        <v>1095.5744919999997</v>
      </c>
      <c r="Q9" s="49">
        <f>'Mise sur le marché'!Q20+'Mise sur le marché'!Q21</f>
        <v>1088.0526180000002</v>
      </c>
      <c r="R9" s="36"/>
      <c r="S9" s="36"/>
    </row>
    <row r="10" spans="2:46" s="1" customFormat="1">
      <c r="B10" s="46" t="s">
        <v>44</v>
      </c>
      <c r="C10" s="53" t="s">
        <v>123</v>
      </c>
      <c r="D10" s="43" t="s">
        <v>11</v>
      </c>
      <c r="E10" s="92">
        <f>SUM(E12:E18)</f>
        <v>484.92438599999997</v>
      </c>
      <c r="F10" s="92">
        <f t="shared" ref="F10:O10" si="2">SUM(F12:F18)</f>
        <v>507.81369299999892</v>
      </c>
      <c r="G10" s="92">
        <f t="shared" si="2"/>
        <v>603.52641799999913</v>
      </c>
      <c r="H10" s="92">
        <f t="shared" si="2"/>
        <v>637.893171999998</v>
      </c>
      <c r="I10" s="92">
        <f t="shared" si="2"/>
        <v>655.67706999999905</v>
      </c>
      <c r="J10" s="92">
        <f t="shared" si="2"/>
        <v>667.94209400000011</v>
      </c>
      <c r="K10" s="92">
        <f t="shared" si="2"/>
        <v>678.53460899999845</v>
      </c>
      <c r="L10" s="92">
        <f t="shared" si="2"/>
        <v>696.51250199999902</v>
      </c>
      <c r="M10" s="92">
        <f t="shared" si="2"/>
        <v>707.56377399999894</v>
      </c>
      <c r="N10" s="92">
        <f t="shared" si="2"/>
        <v>759.8638520900065</v>
      </c>
      <c r="O10" s="92">
        <f t="shared" si="2"/>
        <v>782.52359000000001</v>
      </c>
      <c r="P10" s="537">
        <f t="shared" ref="P10" si="3">SUM(P12:P18)</f>
        <v>761.14527118118986</v>
      </c>
      <c r="Q10" s="93">
        <f>SUM(Q12:Q18)</f>
        <v>830.73088959064307</v>
      </c>
      <c r="R10" s="36"/>
      <c r="S10" s="36"/>
    </row>
    <row r="11" spans="2:46" s="1" customFormat="1" ht="17.5">
      <c r="B11" s="52" t="s">
        <v>181</v>
      </c>
      <c r="C11" s="53" t="s">
        <v>123</v>
      </c>
      <c r="D11" s="43" t="s">
        <v>11</v>
      </c>
      <c r="E11" s="92">
        <f>SUM(E12:E14)</f>
        <v>478.81338599999998</v>
      </c>
      <c r="F11" s="92">
        <f t="shared" ref="F11:O11" si="4">SUM(F12:F14)</f>
        <v>500.33569299999891</v>
      </c>
      <c r="G11" s="92">
        <f t="shared" si="4"/>
        <v>594.24441799999909</v>
      </c>
      <c r="H11" s="92">
        <f t="shared" si="4"/>
        <v>626.73017199999799</v>
      </c>
      <c r="I11" s="92">
        <f t="shared" si="4"/>
        <v>644.89176799999905</v>
      </c>
      <c r="J11" s="92">
        <f t="shared" si="4"/>
        <v>655.04587900000013</v>
      </c>
      <c r="K11" s="92">
        <f t="shared" si="4"/>
        <v>662.26120199999843</v>
      </c>
      <c r="L11" s="92">
        <f t="shared" si="4"/>
        <v>679.94407099999898</v>
      </c>
      <c r="M11" s="92">
        <f t="shared" si="4"/>
        <v>691.39660799999899</v>
      </c>
      <c r="N11" s="92">
        <f t="shared" si="4"/>
        <v>759.7160230900065</v>
      </c>
      <c r="O11" s="92">
        <f t="shared" si="4"/>
        <v>782.23369000000002</v>
      </c>
      <c r="P11" s="537">
        <f t="shared" ref="P11" si="5">SUM(P12:P14)</f>
        <v>760.96821999999975</v>
      </c>
      <c r="Q11" s="93">
        <f>SUM(Q12:Q14)</f>
        <v>830.66271999999981</v>
      </c>
      <c r="R11" s="36"/>
      <c r="S11" s="36"/>
    </row>
    <row r="12" spans="2:46" s="1" customFormat="1" ht="17.5">
      <c r="B12" s="52" t="s">
        <v>263</v>
      </c>
      <c r="C12" s="53" t="s">
        <v>141</v>
      </c>
      <c r="D12" s="43" t="s">
        <v>11</v>
      </c>
      <c r="E12" s="95">
        <f>'Collecte et tri'!E31</f>
        <v>34.657606000000001</v>
      </c>
      <c r="F12" s="95">
        <f>'Collecte et tri'!F31</f>
        <v>34.944432999999897</v>
      </c>
      <c r="G12" s="95">
        <f>'Collecte et tri'!G31</f>
        <v>36.094434999999947</v>
      </c>
      <c r="H12" s="95">
        <f>'Collecte et tri'!H31</f>
        <v>37.913431999999901</v>
      </c>
      <c r="I12" s="95">
        <f>'Collecte et tri'!I31</f>
        <v>39.536795999999924</v>
      </c>
      <c r="J12" s="95">
        <f>'Collecte et tri'!J31</f>
        <v>39.68391299999994</v>
      </c>
      <c r="K12" s="95">
        <f>'Collecte et tri'!K31</f>
        <v>38.355915999999944</v>
      </c>
      <c r="L12" s="95">
        <f>'Collecte et tri'!L31</f>
        <v>37.297607999999933</v>
      </c>
      <c r="M12" s="95">
        <f>'Collecte et tri'!M31</f>
        <v>37.637563999999962</v>
      </c>
      <c r="N12" s="96">
        <f>'Collecte et tri'!N31</f>
        <v>35.513790999999969</v>
      </c>
      <c r="O12" s="96">
        <f>'Collecte et tri'!O31</f>
        <v>37.527200000000001</v>
      </c>
      <c r="P12" s="538">
        <f>'Collecte et tri'!P31</f>
        <v>37.569379999999974</v>
      </c>
      <c r="Q12" s="97">
        <f>'Collecte et tri'!Q31</f>
        <v>39.613279999999982</v>
      </c>
      <c r="R12" s="36"/>
      <c r="S12" s="36"/>
    </row>
    <row r="13" spans="2:46" s="1" customFormat="1" ht="17.5">
      <c r="B13" s="52" t="s">
        <v>264</v>
      </c>
      <c r="C13" s="53" t="s">
        <v>141</v>
      </c>
      <c r="D13" s="43" t="s">
        <v>11</v>
      </c>
      <c r="E13" s="95">
        <f>'Collecte et tri'!E32</f>
        <v>444.15577999999999</v>
      </c>
      <c r="F13" s="95">
        <f>'Collecte et tri'!F32</f>
        <v>465.39125999999902</v>
      </c>
      <c r="G13" s="95">
        <f>'Collecte et tri'!G32</f>
        <v>558.14998299999911</v>
      </c>
      <c r="H13" s="95">
        <f>'Collecte et tri'!H32</f>
        <v>588.81673999999805</v>
      </c>
      <c r="I13" s="95">
        <f>'Collecte et tri'!I32</f>
        <v>605.35497199999918</v>
      </c>
      <c r="J13" s="95">
        <f>'Collecte et tri'!J32</f>
        <v>615.36196600000017</v>
      </c>
      <c r="K13" s="95">
        <f>'Collecte et tri'!K32</f>
        <v>623.90528599999845</v>
      </c>
      <c r="L13" s="95">
        <f>'Collecte et tri'!L32</f>
        <v>642.64646299999902</v>
      </c>
      <c r="M13" s="95">
        <f>'Collecte et tri'!M32</f>
        <v>653.75904399999899</v>
      </c>
      <c r="N13" s="96">
        <f>'Collecte et tri'!N32-N14</f>
        <v>652.20223209000653</v>
      </c>
      <c r="O13" s="96">
        <f>'Collecte et tri'!O32-O14</f>
        <v>670.82954000000007</v>
      </c>
      <c r="P13" s="538">
        <f>'Collecte et tri'!P32-P14</f>
        <v>647.96310999999969</v>
      </c>
      <c r="Q13" s="97">
        <f>'Collecte et tri'!Q32-Q14</f>
        <v>711.96488999999974</v>
      </c>
      <c r="R13" s="36"/>
      <c r="S13" s="112"/>
    </row>
    <row r="14" spans="2:46" s="1" customFormat="1" ht="17.5">
      <c r="B14" s="52" t="s">
        <v>265</v>
      </c>
      <c r="C14" s="53" t="s">
        <v>141</v>
      </c>
      <c r="D14" s="43" t="s">
        <v>11</v>
      </c>
      <c r="E14" s="56"/>
      <c r="F14" s="56"/>
      <c r="G14" s="56"/>
      <c r="H14" s="56"/>
      <c r="I14" s="56"/>
      <c r="J14" s="56"/>
      <c r="K14" s="56"/>
      <c r="L14" s="56"/>
      <c r="M14" s="56"/>
      <c r="N14" s="96">
        <v>72</v>
      </c>
      <c r="O14" s="96">
        <f>'Collecte et tri'!O34</f>
        <v>73.876949999999994</v>
      </c>
      <c r="P14" s="538">
        <f>'Collecte et tri'!P34</f>
        <v>75.435729999999978</v>
      </c>
      <c r="Q14" s="97">
        <f>'Collecte et tri'!Q34</f>
        <v>79.084550000000092</v>
      </c>
      <c r="R14" s="36"/>
      <c r="S14" s="36"/>
    </row>
    <row r="15" spans="2:46" s="1" customFormat="1" ht="14.9" customHeight="1">
      <c r="B15" s="52" t="s">
        <v>262</v>
      </c>
      <c r="C15" s="53" t="s">
        <v>289</v>
      </c>
      <c r="D15" s="43" t="s">
        <v>11</v>
      </c>
      <c r="E15" s="59"/>
      <c r="F15" s="59"/>
      <c r="G15" s="59"/>
      <c r="H15" s="59"/>
      <c r="I15" s="59"/>
      <c r="J15" s="59"/>
      <c r="K15" s="59"/>
      <c r="L15" s="98">
        <v>0</v>
      </c>
      <c r="M15" s="98">
        <v>0.217</v>
      </c>
      <c r="N15" s="99">
        <v>0.14782900000000002</v>
      </c>
      <c r="O15" s="99">
        <v>0.2029</v>
      </c>
      <c r="P15" s="538">
        <v>9.1271181190104397E-2</v>
      </c>
      <c r="Q15" s="97">
        <v>2.05847953216374E-2</v>
      </c>
      <c r="R15" s="36"/>
      <c r="S15" s="36"/>
    </row>
    <row r="16" spans="2:46" s="1" customFormat="1" ht="17.5">
      <c r="B16" s="52" t="s">
        <v>184</v>
      </c>
      <c r="C16" s="53" t="s">
        <v>289</v>
      </c>
      <c r="D16" s="43" t="s">
        <v>11</v>
      </c>
      <c r="E16" s="59"/>
      <c r="F16" s="59"/>
      <c r="G16" s="59"/>
      <c r="H16" s="59"/>
      <c r="I16" s="59"/>
      <c r="J16" s="59"/>
      <c r="K16" s="59"/>
      <c r="L16" s="59"/>
      <c r="M16" s="59"/>
      <c r="N16" s="56"/>
      <c r="O16" s="56"/>
      <c r="P16" s="553">
        <v>6.0580000000000002E-2</v>
      </c>
      <c r="Q16" s="100">
        <v>2.05847953216374E-2</v>
      </c>
      <c r="R16" s="36"/>
      <c r="S16" s="36"/>
    </row>
    <row r="17" spans="2:19" s="1" customFormat="1" ht="17.5">
      <c r="B17" s="52" t="s">
        <v>185</v>
      </c>
      <c r="C17" s="53" t="s">
        <v>289</v>
      </c>
      <c r="D17" s="43" t="s">
        <v>11</v>
      </c>
      <c r="E17" s="59"/>
      <c r="F17" s="59"/>
      <c r="G17" s="59"/>
      <c r="H17" s="59"/>
      <c r="I17" s="59"/>
      <c r="J17" s="59"/>
      <c r="K17" s="59"/>
      <c r="L17" s="98">
        <v>0</v>
      </c>
      <c r="M17" s="98">
        <v>0</v>
      </c>
      <c r="N17" s="99">
        <v>0</v>
      </c>
      <c r="O17" s="99">
        <v>8.6999999999999994E-2</v>
      </c>
      <c r="P17" s="553">
        <v>2.52E-2</v>
      </c>
      <c r="Q17" s="100">
        <v>2.7E-2</v>
      </c>
      <c r="R17" s="36"/>
      <c r="S17" s="36"/>
    </row>
    <row r="18" spans="2:19" s="1" customFormat="1" ht="17.5">
      <c r="B18" s="52" t="s">
        <v>261</v>
      </c>
      <c r="C18" s="53" t="s">
        <v>141</v>
      </c>
      <c r="D18" s="43" t="s">
        <v>11</v>
      </c>
      <c r="E18" s="95">
        <f>'Collecte et tri'!E36</f>
        <v>6.1109999999999998</v>
      </c>
      <c r="F18" s="95">
        <f>'Collecte et tri'!F36</f>
        <v>7.4779999999999998</v>
      </c>
      <c r="G18" s="95">
        <f>'Collecte et tri'!G36</f>
        <v>9.282</v>
      </c>
      <c r="H18" s="95">
        <f>'Collecte et tri'!H36</f>
        <v>11.163</v>
      </c>
      <c r="I18" s="95">
        <f>'Collecte et tri'!I36</f>
        <v>10.785301999999987</v>
      </c>
      <c r="J18" s="95">
        <f>'Collecte et tri'!J36</f>
        <v>12.896214999999991</v>
      </c>
      <c r="K18" s="95">
        <f>'Collecte et tri'!K36</f>
        <v>16.273406999999999</v>
      </c>
      <c r="L18" s="95">
        <f>'Collecte et tri'!L36</f>
        <v>16.568430999999986</v>
      </c>
      <c r="M18" s="95">
        <f>'Collecte et tri'!M36</f>
        <v>15.950165999999976</v>
      </c>
      <c r="N18" s="56"/>
      <c r="O18" s="56"/>
      <c r="P18" s="554"/>
      <c r="Q18" s="113"/>
      <c r="R18" s="36"/>
      <c r="S18" s="36"/>
    </row>
    <row r="19" spans="2:19" s="1" customFormat="1">
      <c r="B19" s="114" t="s">
        <v>84</v>
      </c>
      <c r="C19" s="53" t="s">
        <v>123</v>
      </c>
      <c r="D19" s="106" t="s">
        <v>3</v>
      </c>
      <c r="E19" s="115">
        <f t="shared" ref="E19:O19" si="6">E10/E7</f>
        <v>0.53656792219634097</v>
      </c>
      <c r="F19" s="115">
        <f t="shared" si="6"/>
        <v>0.55120487879141933</v>
      </c>
      <c r="G19" s="115">
        <f t="shared" si="6"/>
        <v>0.63641378640855073</v>
      </c>
      <c r="H19" s="115">
        <f t="shared" si="6"/>
        <v>0.62699800045628862</v>
      </c>
      <c r="I19" s="115">
        <f t="shared" si="6"/>
        <v>0.6399139881018383</v>
      </c>
      <c r="J19" s="115">
        <f t="shared" si="6"/>
        <v>0.63769435717818013</v>
      </c>
      <c r="K19" s="115">
        <f t="shared" si="6"/>
        <v>0.64479029871895333</v>
      </c>
      <c r="L19" s="115">
        <f t="shared" si="6"/>
        <v>0.63789246776093433</v>
      </c>
      <c r="M19" s="115">
        <f t="shared" si="6"/>
        <v>0.63163054693090226</v>
      </c>
      <c r="N19" s="116">
        <f t="shared" si="6"/>
        <v>0.66849161621236863</v>
      </c>
      <c r="O19" s="116">
        <f t="shared" si="6"/>
        <v>0.68083438956855491</v>
      </c>
      <c r="P19" s="555">
        <f t="shared" ref="P19" si="7">P10/P7</f>
        <v>0.65151534558571045</v>
      </c>
      <c r="Q19" s="117">
        <f>Q10/Q7</f>
        <v>0.71748982681661977</v>
      </c>
      <c r="R19" s="36"/>
      <c r="S19" s="36"/>
    </row>
    <row r="20" spans="2:19" s="1" customFormat="1">
      <c r="B20" s="114" t="s">
        <v>87</v>
      </c>
      <c r="C20" s="53" t="s">
        <v>123</v>
      </c>
      <c r="D20" s="106" t="s">
        <v>3</v>
      </c>
      <c r="E20" s="115">
        <f t="shared" ref="E20:O20" si="8">E12/E8</f>
        <v>0.38085281318681319</v>
      </c>
      <c r="F20" s="115">
        <f t="shared" si="8"/>
        <v>0.38619792409611509</v>
      </c>
      <c r="G20" s="115">
        <f t="shared" si="8"/>
        <v>0.41065308646642623</v>
      </c>
      <c r="H20" s="115">
        <f t="shared" si="8"/>
        <v>0.42295447925051055</v>
      </c>
      <c r="I20" s="115">
        <f t="shared" si="8"/>
        <v>0.45381702907174626</v>
      </c>
      <c r="J20" s="115">
        <f t="shared" si="8"/>
        <v>0.46156698746236696</v>
      </c>
      <c r="K20" s="115">
        <f t="shared" si="8"/>
        <v>0.46850555526116522</v>
      </c>
      <c r="L20" s="115">
        <f t="shared" si="8"/>
        <v>0.47283738995144192</v>
      </c>
      <c r="M20" s="115">
        <f t="shared" si="8"/>
        <v>0.49849462923068799</v>
      </c>
      <c r="N20" s="116">
        <f t="shared" si="8"/>
        <v>0.4934652473861359</v>
      </c>
      <c r="O20" s="116">
        <f t="shared" si="8"/>
        <v>0.5462412508271377</v>
      </c>
      <c r="P20" s="555">
        <f t="shared" ref="P20" si="9">P12/P8</f>
        <v>0.51681082538045486</v>
      </c>
      <c r="Q20" s="117">
        <f>Q12/Q8</f>
        <v>0.56771350569748102</v>
      </c>
      <c r="R20" s="36"/>
      <c r="S20" s="36"/>
    </row>
    <row r="21" spans="2:19" s="1" customFormat="1" ht="15" thickBot="1">
      <c r="B21" s="61" t="s">
        <v>86</v>
      </c>
      <c r="C21" s="62" t="s">
        <v>123</v>
      </c>
      <c r="D21" s="63" t="s">
        <v>3</v>
      </c>
      <c r="E21" s="64">
        <f t="shared" ref="E21:M21" si="10">E13/E9</f>
        <v>0.54648370700783855</v>
      </c>
      <c r="F21" s="64">
        <f t="shared" si="10"/>
        <v>0.56017502267151453</v>
      </c>
      <c r="G21" s="64">
        <f t="shared" si="10"/>
        <v>0.64868822763350353</v>
      </c>
      <c r="H21" s="64">
        <f t="shared" si="10"/>
        <v>0.63468052198447944</v>
      </c>
      <c r="I21" s="64">
        <f t="shared" si="10"/>
        <v>0.64570331877323117</v>
      </c>
      <c r="J21" s="64">
        <f t="shared" si="10"/>
        <v>0.64003101978319976</v>
      </c>
      <c r="K21" s="64">
        <f t="shared" si="10"/>
        <v>0.6428930501890312</v>
      </c>
      <c r="L21" s="64">
        <f t="shared" si="10"/>
        <v>0.63438924720474998</v>
      </c>
      <c r="M21" s="64">
        <f t="shared" si="10"/>
        <v>0.62577720270049264</v>
      </c>
      <c r="N21" s="118">
        <f>(N13+N14)/N9</f>
        <v>0.68018346482665959</v>
      </c>
      <c r="O21" s="118">
        <f>(O13+O14)/O9</f>
        <v>0.68912262343104158</v>
      </c>
      <c r="P21" s="410">
        <f>(P13+P14)/P9</f>
        <v>0.66029178780843667</v>
      </c>
      <c r="Q21" s="119">
        <f>(Q13+Q14)/Q9</f>
        <v>0.72703233916578813</v>
      </c>
      <c r="R21" s="36"/>
      <c r="S21" s="36"/>
    </row>
    <row r="22" spans="2:19" s="1" customFormat="1" ht="15" thickBot="1">
      <c r="B22" s="83"/>
      <c r="C22" s="83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83"/>
      <c r="O22" s="36"/>
      <c r="P22" s="36"/>
      <c r="Q22" s="36"/>
      <c r="R22" s="36"/>
      <c r="S22" s="36"/>
    </row>
    <row r="23" spans="2:19" s="1" customFormat="1" ht="18">
      <c r="B23" s="38" t="s">
        <v>7</v>
      </c>
      <c r="C23" s="101"/>
      <c r="D23" s="39" t="s">
        <v>0</v>
      </c>
      <c r="E23" s="40">
        <v>2009</v>
      </c>
      <c r="F23" s="40">
        <v>2010</v>
      </c>
      <c r="G23" s="40">
        <v>2011</v>
      </c>
      <c r="H23" s="40">
        <v>2012</v>
      </c>
      <c r="I23" s="40">
        <v>2013</v>
      </c>
      <c r="J23" s="40">
        <v>2014</v>
      </c>
      <c r="K23" s="40">
        <v>2015</v>
      </c>
      <c r="L23" s="40">
        <v>2016</v>
      </c>
      <c r="M23" s="40">
        <v>2017</v>
      </c>
      <c r="N23" s="40">
        <v>2018</v>
      </c>
      <c r="O23" s="40">
        <v>2019</v>
      </c>
      <c r="P23" s="434">
        <v>2020</v>
      </c>
      <c r="Q23" s="41">
        <v>2021</v>
      </c>
      <c r="R23" s="36"/>
      <c r="S23" s="36"/>
    </row>
    <row r="24" spans="2:19" s="1" customFormat="1">
      <c r="B24" s="42" t="s">
        <v>6</v>
      </c>
      <c r="C24" s="390"/>
      <c r="D24" s="43"/>
      <c r="E24" s="44">
        <v>2010</v>
      </c>
      <c r="F24" s="44">
        <v>2011</v>
      </c>
      <c r="G24" s="44">
        <v>2012</v>
      </c>
      <c r="H24" s="44">
        <v>2013</v>
      </c>
      <c r="I24" s="44">
        <v>2014</v>
      </c>
      <c r="J24" s="44">
        <v>2015</v>
      </c>
      <c r="K24" s="44">
        <v>2016</v>
      </c>
      <c r="L24" s="44">
        <v>2017</v>
      </c>
      <c r="M24" s="44">
        <v>2018</v>
      </c>
      <c r="N24" s="44">
        <v>2019</v>
      </c>
      <c r="O24" s="44">
        <v>2020</v>
      </c>
      <c r="P24" s="533">
        <v>2021</v>
      </c>
      <c r="Q24" s="45">
        <v>2022</v>
      </c>
      <c r="R24" s="36"/>
      <c r="S24" s="36"/>
    </row>
    <row r="25" spans="2:19" s="1" customFormat="1" ht="30" customHeight="1">
      <c r="B25" s="650" t="s">
        <v>88</v>
      </c>
      <c r="C25" s="663"/>
      <c r="D25" s="651"/>
      <c r="E25" s="651"/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2"/>
      <c r="Q25" s="653"/>
      <c r="R25" s="36"/>
      <c r="S25" s="36"/>
    </row>
    <row r="26" spans="2:19" s="1" customFormat="1" ht="17.5">
      <c r="B26" s="52" t="s">
        <v>61</v>
      </c>
      <c r="C26" s="53" t="s">
        <v>289</v>
      </c>
      <c r="D26" s="43" t="s">
        <v>3</v>
      </c>
      <c r="E26" s="68"/>
      <c r="F26" s="68"/>
      <c r="G26" s="68"/>
      <c r="H26" s="69"/>
      <c r="I26" s="56"/>
      <c r="J26" s="56"/>
      <c r="K26" s="70">
        <v>0.26</v>
      </c>
      <c r="L26" s="70">
        <v>0.27</v>
      </c>
      <c r="M26" s="70">
        <v>0.27</v>
      </c>
      <c r="N26" s="71">
        <v>0.185</v>
      </c>
      <c r="O26" s="71">
        <v>0.28999999999999998</v>
      </c>
      <c r="P26" s="534">
        <v>0.32300000000000001</v>
      </c>
      <c r="Q26" s="524">
        <v>0.34100000000000003</v>
      </c>
      <c r="R26" s="36"/>
      <c r="S26" s="36"/>
    </row>
    <row r="27" spans="2:19" s="1" customFormat="1" ht="17.5">
      <c r="B27" s="52" t="s">
        <v>62</v>
      </c>
      <c r="C27" s="53" t="s">
        <v>289</v>
      </c>
      <c r="D27" s="43" t="s">
        <v>3</v>
      </c>
      <c r="E27" s="68"/>
      <c r="F27" s="68"/>
      <c r="G27" s="68"/>
      <c r="H27" s="69"/>
      <c r="I27" s="56"/>
      <c r="J27" s="56"/>
      <c r="K27" s="70">
        <v>0.67</v>
      </c>
      <c r="L27" s="70">
        <v>0.68</v>
      </c>
      <c r="M27" s="70">
        <v>0.67</v>
      </c>
      <c r="N27" s="71">
        <v>0.77500000000000002</v>
      </c>
      <c r="O27" s="71">
        <v>0.67</v>
      </c>
      <c r="P27" s="534">
        <v>0.63800000000000001</v>
      </c>
      <c r="Q27" s="524">
        <v>0.625</v>
      </c>
      <c r="R27" s="36"/>
      <c r="S27" s="36"/>
    </row>
    <row r="28" spans="2:19" s="1" customFormat="1" ht="17.5">
      <c r="B28" s="52" t="s">
        <v>63</v>
      </c>
      <c r="C28" s="53" t="s">
        <v>289</v>
      </c>
      <c r="D28" s="43" t="s">
        <v>3</v>
      </c>
      <c r="E28" s="68"/>
      <c r="F28" s="68"/>
      <c r="G28" s="68"/>
      <c r="H28" s="69"/>
      <c r="I28" s="56"/>
      <c r="J28" s="56"/>
      <c r="K28" s="70">
        <v>0.06</v>
      </c>
      <c r="L28" s="70">
        <v>0.05</v>
      </c>
      <c r="M28" s="70">
        <v>0.06</v>
      </c>
      <c r="N28" s="71">
        <v>0.04</v>
      </c>
      <c r="O28" s="71">
        <v>0.03</v>
      </c>
      <c r="P28" s="534">
        <v>3.5999999999999997E-2</v>
      </c>
      <c r="Q28" s="524">
        <v>3.4000000000000002E-2</v>
      </c>
      <c r="R28" s="36"/>
      <c r="S28" s="36"/>
    </row>
    <row r="29" spans="2:19" s="1" customFormat="1">
      <c r="B29" s="46" t="s">
        <v>268</v>
      </c>
      <c r="C29" s="53" t="s">
        <v>289</v>
      </c>
      <c r="D29" s="43" t="s">
        <v>3</v>
      </c>
      <c r="E29" s="68"/>
      <c r="F29" s="68"/>
      <c r="G29" s="68"/>
      <c r="H29" s="69"/>
      <c r="I29" s="56"/>
      <c r="J29" s="56"/>
      <c r="K29" s="70">
        <f>1-(K30+K31)</f>
        <v>0.66999999999999993</v>
      </c>
      <c r="L29" s="70">
        <f>1-(L30+L31)</f>
        <v>0.67</v>
      </c>
      <c r="M29" s="70">
        <f>1-(M30+M31)</f>
        <v>0.69</v>
      </c>
      <c r="N29" s="71">
        <v>0.69</v>
      </c>
      <c r="O29" s="71">
        <v>0.72</v>
      </c>
      <c r="P29" s="534">
        <v>0.71899999999999997</v>
      </c>
      <c r="Q29" s="524">
        <v>0.72199999999999998</v>
      </c>
      <c r="R29" s="36"/>
      <c r="S29" s="36"/>
    </row>
    <row r="30" spans="2:19" s="1" customFormat="1">
      <c r="B30" s="46" t="s">
        <v>64</v>
      </c>
      <c r="C30" s="53" t="s">
        <v>289</v>
      </c>
      <c r="D30" s="43" t="s">
        <v>3</v>
      </c>
      <c r="E30" s="68"/>
      <c r="F30" s="68"/>
      <c r="G30" s="68"/>
      <c r="H30" s="69"/>
      <c r="I30" s="56"/>
      <c r="J30" s="56"/>
      <c r="K30" s="70">
        <v>0.27</v>
      </c>
      <c r="L30" s="70">
        <v>0.28999999999999998</v>
      </c>
      <c r="M30" s="70">
        <v>0.28999999999999998</v>
      </c>
      <c r="N30" s="71">
        <v>0.31</v>
      </c>
      <c r="O30" s="71">
        <v>0.27</v>
      </c>
      <c r="P30" s="534">
        <v>0.253</v>
      </c>
      <c r="Q30" s="524">
        <v>0.26700000000000002</v>
      </c>
      <c r="R30" s="36"/>
      <c r="S30" s="36"/>
    </row>
    <row r="31" spans="2:19" s="1" customFormat="1">
      <c r="B31" s="46" t="s">
        <v>45</v>
      </c>
      <c r="C31" s="53" t="s">
        <v>289</v>
      </c>
      <c r="D31" s="43" t="s">
        <v>3</v>
      </c>
      <c r="E31" s="68"/>
      <c r="F31" s="68"/>
      <c r="G31" s="68"/>
      <c r="H31" s="69"/>
      <c r="I31" s="56"/>
      <c r="J31" s="56"/>
      <c r="K31" s="70">
        <v>0.06</v>
      </c>
      <c r="L31" s="70">
        <v>0.04</v>
      </c>
      <c r="M31" s="70">
        <v>0.02</v>
      </c>
      <c r="N31" s="71">
        <v>0.01</v>
      </c>
      <c r="O31" s="71">
        <v>0.01</v>
      </c>
      <c r="P31" s="534">
        <v>2.8000000000000001E-2</v>
      </c>
      <c r="Q31" s="524">
        <v>1.0999999999999999E-2</v>
      </c>
      <c r="R31" s="36"/>
      <c r="S31" s="36"/>
    </row>
    <row r="32" spans="2:19" s="1" customFormat="1">
      <c r="B32" s="46" t="s">
        <v>48</v>
      </c>
      <c r="C32" s="53" t="s">
        <v>289</v>
      </c>
      <c r="D32" s="43" t="s">
        <v>3</v>
      </c>
      <c r="E32" s="54"/>
      <c r="F32" s="54"/>
      <c r="G32" s="54"/>
      <c r="H32" s="55"/>
      <c r="I32" s="72"/>
      <c r="J32" s="72"/>
      <c r="K32" s="70">
        <v>0</v>
      </c>
      <c r="L32" s="70">
        <v>0</v>
      </c>
      <c r="M32" s="70">
        <v>0</v>
      </c>
      <c r="N32" s="70">
        <v>0</v>
      </c>
      <c r="O32" s="71">
        <v>0</v>
      </c>
      <c r="P32" s="534">
        <v>0</v>
      </c>
      <c r="Q32" s="524">
        <v>0</v>
      </c>
      <c r="R32" s="36"/>
      <c r="S32" s="36"/>
    </row>
    <row r="33" spans="2:19" s="1" customFormat="1" ht="30" customHeight="1">
      <c r="B33" s="650" t="s">
        <v>89</v>
      </c>
      <c r="C33" s="663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2"/>
      <c r="Q33" s="653"/>
      <c r="R33" s="36"/>
      <c r="S33" s="36"/>
    </row>
    <row r="34" spans="2:19" s="1" customFormat="1" ht="17.5">
      <c r="B34" s="52" t="s">
        <v>61</v>
      </c>
      <c r="C34" s="53" t="s">
        <v>289</v>
      </c>
      <c r="D34" s="43" t="s">
        <v>3</v>
      </c>
      <c r="E34" s="68"/>
      <c r="F34" s="68"/>
      <c r="G34" s="68"/>
      <c r="H34" s="69"/>
      <c r="I34" s="56"/>
      <c r="J34" s="56"/>
      <c r="K34" s="70">
        <v>0.49</v>
      </c>
      <c r="L34" s="70">
        <v>0.5</v>
      </c>
      <c r="M34" s="70">
        <v>0.51</v>
      </c>
      <c r="N34" s="71">
        <v>0.55000000000000004</v>
      </c>
      <c r="O34" s="71">
        <v>0.56999999999999995</v>
      </c>
      <c r="P34" s="534">
        <v>0.622</v>
      </c>
      <c r="Q34" s="524">
        <v>0.63500000000000001</v>
      </c>
      <c r="R34" s="36"/>
      <c r="S34" s="36"/>
    </row>
    <row r="35" spans="2:19" s="1" customFormat="1" ht="17.5">
      <c r="B35" s="52" t="s">
        <v>62</v>
      </c>
      <c r="C35" s="53" t="s">
        <v>289</v>
      </c>
      <c r="D35" s="43" t="s">
        <v>3</v>
      </c>
      <c r="E35" s="68"/>
      <c r="F35" s="68"/>
      <c r="G35" s="68"/>
      <c r="H35" s="69"/>
      <c r="I35" s="56"/>
      <c r="J35" s="56"/>
      <c r="K35" s="70">
        <v>0.49</v>
      </c>
      <c r="L35" s="70">
        <v>0.47</v>
      </c>
      <c r="M35" s="70">
        <v>0.46</v>
      </c>
      <c r="N35" s="71">
        <v>0.43</v>
      </c>
      <c r="O35" s="71">
        <v>0.42</v>
      </c>
      <c r="P35" s="534">
        <v>0.36299999999999999</v>
      </c>
      <c r="Q35" s="524">
        <v>0.35299999999999998</v>
      </c>
      <c r="R35" s="36"/>
      <c r="S35" s="36"/>
    </row>
    <row r="36" spans="2:19" s="1" customFormat="1" ht="17.5">
      <c r="B36" s="52" t="s">
        <v>63</v>
      </c>
      <c r="C36" s="53" t="s">
        <v>289</v>
      </c>
      <c r="D36" s="43" t="s">
        <v>3</v>
      </c>
      <c r="E36" s="68"/>
      <c r="F36" s="68"/>
      <c r="G36" s="68"/>
      <c r="H36" s="69"/>
      <c r="I36" s="56"/>
      <c r="J36" s="56"/>
      <c r="K36" s="70">
        <v>0.02</v>
      </c>
      <c r="L36" s="70">
        <v>0.03</v>
      </c>
      <c r="M36" s="70">
        <v>0.03</v>
      </c>
      <c r="N36" s="71">
        <v>0.02</v>
      </c>
      <c r="O36" s="71">
        <v>0.01</v>
      </c>
      <c r="P36" s="534">
        <v>1.4999999999999999E-2</v>
      </c>
      <c r="Q36" s="524">
        <v>1.2E-2</v>
      </c>
      <c r="R36" s="36"/>
      <c r="S36" s="36"/>
    </row>
    <row r="37" spans="2:19" s="1" customFormat="1">
      <c r="B37" s="46" t="s">
        <v>268</v>
      </c>
      <c r="C37" s="53" t="s">
        <v>289</v>
      </c>
      <c r="D37" s="43" t="s">
        <v>3</v>
      </c>
      <c r="E37" s="68"/>
      <c r="F37" s="68"/>
      <c r="G37" s="68"/>
      <c r="H37" s="69"/>
      <c r="I37" s="56"/>
      <c r="J37" s="56"/>
      <c r="K37" s="70">
        <f>1-(K38+K39)</f>
        <v>0.56000000000000005</v>
      </c>
      <c r="L37" s="70">
        <f>1-(L38+L39)</f>
        <v>0.63</v>
      </c>
      <c r="M37" s="70">
        <f>1-(M38+M39)</f>
        <v>0.56000000000000005</v>
      </c>
      <c r="N37" s="71">
        <f>1-(N38+N39)</f>
        <v>0.58000000000000007</v>
      </c>
      <c r="O37" s="71">
        <f>1-(O38+O39)</f>
        <v>0.55000000000000004</v>
      </c>
      <c r="P37" s="534">
        <v>0.69399999999999995</v>
      </c>
      <c r="Q37" s="524">
        <v>0.59</v>
      </c>
      <c r="R37" s="36"/>
      <c r="S37" s="36"/>
    </row>
    <row r="38" spans="2:19" s="1" customFormat="1">
      <c r="B38" s="46" t="s">
        <v>64</v>
      </c>
      <c r="C38" s="53" t="s">
        <v>289</v>
      </c>
      <c r="D38" s="43" t="s">
        <v>3</v>
      </c>
      <c r="E38" s="68"/>
      <c r="F38" s="68"/>
      <c r="G38" s="68"/>
      <c r="H38" s="69"/>
      <c r="I38" s="56"/>
      <c r="J38" s="56"/>
      <c r="K38" s="70">
        <v>0.44</v>
      </c>
      <c r="L38" s="70">
        <v>0.37</v>
      </c>
      <c r="M38" s="70">
        <v>0.43</v>
      </c>
      <c r="N38" s="71">
        <v>0.42</v>
      </c>
      <c r="O38" s="71">
        <v>0.43</v>
      </c>
      <c r="P38" s="534">
        <v>0.30099999999999999</v>
      </c>
      <c r="Q38" s="524">
        <v>0.40699999999999997</v>
      </c>
      <c r="R38" s="36"/>
      <c r="S38" s="36"/>
    </row>
    <row r="39" spans="2:19" s="1" customFormat="1">
      <c r="B39" s="46" t="s">
        <v>45</v>
      </c>
      <c r="C39" s="53" t="s">
        <v>289</v>
      </c>
      <c r="D39" s="43" t="s">
        <v>3</v>
      </c>
      <c r="E39" s="68"/>
      <c r="F39" s="68"/>
      <c r="G39" s="68"/>
      <c r="H39" s="69"/>
      <c r="I39" s="56"/>
      <c r="J39" s="56"/>
      <c r="K39" s="70">
        <v>0</v>
      </c>
      <c r="L39" s="70">
        <v>0</v>
      </c>
      <c r="M39" s="70">
        <v>0.01</v>
      </c>
      <c r="N39" s="71">
        <v>0</v>
      </c>
      <c r="O39" s="71">
        <v>0.02</v>
      </c>
      <c r="P39" s="534">
        <v>4.0000000000000001E-3</v>
      </c>
      <c r="Q39" s="524">
        <v>3.0000000000000001E-3</v>
      </c>
      <c r="R39" s="36"/>
      <c r="S39" s="36"/>
    </row>
    <row r="40" spans="2:19" s="1" customFormat="1">
      <c r="B40" s="46" t="s">
        <v>48</v>
      </c>
      <c r="C40" s="53" t="s">
        <v>289</v>
      </c>
      <c r="D40" s="43" t="s">
        <v>3</v>
      </c>
      <c r="E40" s="54"/>
      <c r="F40" s="54"/>
      <c r="G40" s="54"/>
      <c r="H40" s="55"/>
      <c r="I40" s="72"/>
      <c r="J40" s="72"/>
      <c r="K40" s="662" t="s">
        <v>90</v>
      </c>
      <c r="L40" s="662"/>
      <c r="M40" s="662"/>
      <c r="N40" s="662"/>
      <c r="O40" s="662"/>
      <c r="P40" s="556"/>
      <c r="Q40" s="551">
        <v>0</v>
      </c>
      <c r="R40" s="36"/>
      <c r="S40" s="36"/>
    </row>
    <row r="41" spans="2:19" s="1" customFormat="1" ht="30" customHeight="1">
      <c r="B41" s="650" t="s">
        <v>269</v>
      </c>
      <c r="C41" s="663"/>
      <c r="D41" s="651"/>
      <c r="E41" s="651"/>
      <c r="F41" s="651"/>
      <c r="G41" s="651"/>
      <c r="H41" s="651"/>
      <c r="I41" s="651"/>
      <c r="J41" s="651"/>
      <c r="K41" s="651"/>
      <c r="L41" s="651"/>
      <c r="M41" s="651"/>
      <c r="N41" s="651"/>
      <c r="O41" s="651"/>
      <c r="P41" s="652"/>
      <c r="Q41" s="653"/>
      <c r="R41" s="36"/>
      <c r="S41" s="36"/>
    </row>
    <row r="42" spans="2:19" s="1" customFormat="1" ht="17.5">
      <c r="B42" s="52" t="s">
        <v>61</v>
      </c>
      <c r="C42" s="53" t="s">
        <v>289</v>
      </c>
      <c r="D42" s="43" t="s">
        <v>3</v>
      </c>
      <c r="E42" s="68"/>
      <c r="F42" s="68"/>
      <c r="G42" s="68"/>
      <c r="H42" s="69"/>
      <c r="I42" s="56"/>
      <c r="J42" s="56"/>
      <c r="K42" s="72"/>
      <c r="L42" s="72"/>
      <c r="M42" s="72"/>
      <c r="N42" s="70">
        <v>0</v>
      </c>
      <c r="O42" s="70">
        <v>0</v>
      </c>
      <c r="P42" s="534">
        <v>0</v>
      </c>
      <c r="Q42" s="524">
        <v>0</v>
      </c>
      <c r="R42" s="36"/>
      <c r="S42" s="36"/>
    </row>
    <row r="43" spans="2:19" s="1" customFormat="1" ht="17.5">
      <c r="B43" s="52" t="s">
        <v>62</v>
      </c>
      <c r="C43" s="53" t="s">
        <v>289</v>
      </c>
      <c r="D43" s="43" t="s">
        <v>3</v>
      </c>
      <c r="E43" s="68"/>
      <c r="F43" s="68"/>
      <c r="G43" s="68"/>
      <c r="H43" s="69"/>
      <c r="I43" s="56"/>
      <c r="J43" s="56"/>
      <c r="K43" s="72"/>
      <c r="L43" s="72"/>
      <c r="M43" s="72"/>
      <c r="N43" s="70">
        <v>0.16</v>
      </c>
      <c r="O43" s="70">
        <v>5.9525930516286497E-2</v>
      </c>
      <c r="P43" s="534">
        <v>7.0000000000000001E-3</v>
      </c>
      <c r="Q43" s="524">
        <v>0.01</v>
      </c>
      <c r="R43" s="36"/>
      <c r="S43" s="36"/>
    </row>
    <row r="44" spans="2:19" s="1" customFormat="1" ht="17.5">
      <c r="B44" s="52" t="s">
        <v>63</v>
      </c>
      <c r="C44" s="53" t="s">
        <v>289</v>
      </c>
      <c r="D44" s="43" t="s">
        <v>3</v>
      </c>
      <c r="E44" s="68"/>
      <c r="F44" s="68"/>
      <c r="G44" s="68"/>
      <c r="H44" s="69"/>
      <c r="I44" s="56"/>
      <c r="J44" s="56"/>
      <c r="K44" s="72"/>
      <c r="L44" s="72"/>
      <c r="M44" s="72"/>
      <c r="N44" s="70">
        <v>0.84</v>
      </c>
      <c r="O44" s="70">
        <v>0.94047406948371359</v>
      </c>
      <c r="P44" s="534">
        <v>0.99299999999999999</v>
      </c>
      <c r="Q44" s="524">
        <v>0.99</v>
      </c>
      <c r="R44" s="36"/>
      <c r="S44" s="36"/>
    </row>
    <row r="45" spans="2:19" s="1" customFormat="1">
      <c r="B45" s="46" t="s">
        <v>268</v>
      </c>
      <c r="C45" s="53" t="s">
        <v>289</v>
      </c>
      <c r="D45" s="43" t="s">
        <v>3</v>
      </c>
      <c r="E45" s="68"/>
      <c r="F45" s="68"/>
      <c r="G45" s="68"/>
      <c r="H45" s="69"/>
      <c r="I45" s="56"/>
      <c r="J45" s="56"/>
      <c r="K45" s="56"/>
      <c r="L45" s="56"/>
      <c r="M45" s="56"/>
      <c r="N45" s="71">
        <v>0.50543971957314926</v>
      </c>
      <c r="O45" s="71">
        <v>0.52092027550999997</v>
      </c>
      <c r="P45" s="534">
        <v>0.36499999999999999</v>
      </c>
      <c r="Q45" s="524">
        <v>0.36099999999999999</v>
      </c>
      <c r="R45" s="36"/>
      <c r="S45" s="36"/>
    </row>
    <row r="46" spans="2:19" s="1" customFormat="1">
      <c r="B46" s="46" t="s">
        <v>64</v>
      </c>
      <c r="C46" s="53" t="s">
        <v>289</v>
      </c>
      <c r="D46" s="43" t="s">
        <v>3</v>
      </c>
      <c r="E46" s="68"/>
      <c r="F46" s="68"/>
      <c r="G46" s="68"/>
      <c r="H46" s="69"/>
      <c r="I46" s="56"/>
      <c r="J46" s="56"/>
      <c r="K46" s="72"/>
      <c r="L46" s="72"/>
      <c r="M46" s="72"/>
      <c r="N46" s="70">
        <v>0.48485148603538775</v>
      </c>
      <c r="O46" s="70">
        <v>0.45900000000000002</v>
      </c>
      <c r="P46" s="534">
        <v>0.61599999999999999</v>
      </c>
      <c r="Q46" s="524">
        <v>0.59199999999999997</v>
      </c>
      <c r="R46" s="36"/>
      <c r="S46" s="36"/>
    </row>
    <row r="47" spans="2:19" s="1" customFormat="1">
      <c r="B47" s="46" t="s">
        <v>45</v>
      </c>
      <c r="C47" s="53" t="s">
        <v>289</v>
      </c>
      <c r="D47" s="43" t="s">
        <v>3</v>
      </c>
      <c r="E47" s="68"/>
      <c r="F47" s="68"/>
      <c r="G47" s="68"/>
      <c r="H47" s="69"/>
      <c r="I47" s="56"/>
      <c r="J47" s="56"/>
      <c r="K47" s="72"/>
      <c r="L47" s="72"/>
      <c r="M47" s="72"/>
      <c r="N47" s="70">
        <v>9.708794391462985E-3</v>
      </c>
      <c r="O47" s="70">
        <v>1.9E-2</v>
      </c>
      <c r="P47" s="534">
        <v>1.9E-2</v>
      </c>
      <c r="Q47" s="524">
        <v>4.8000000000000001E-2</v>
      </c>
      <c r="R47" s="36"/>
      <c r="S47" s="36"/>
    </row>
    <row r="48" spans="2:19" s="1" customFormat="1" ht="15" thickBot="1">
      <c r="B48" s="75" t="s">
        <v>48</v>
      </c>
      <c r="C48" s="62" t="s">
        <v>289</v>
      </c>
      <c r="D48" s="77" t="s">
        <v>3</v>
      </c>
      <c r="E48" s="78"/>
      <c r="F48" s="78"/>
      <c r="G48" s="78"/>
      <c r="H48" s="79"/>
      <c r="I48" s="80"/>
      <c r="J48" s="80"/>
      <c r="K48" s="120"/>
      <c r="L48" s="120"/>
      <c r="M48" s="120"/>
      <c r="N48" s="121"/>
      <c r="O48" s="121"/>
      <c r="P48" s="550">
        <v>0</v>
      </c>
      <c r="Q48" s="552">
        <v>0</v>
      </c>
      <c r="R48" s="36"/>
      <c r="S48" s="36"/>
    </row>
    <row r="49" spans="2:50" s="1" customFormat="1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84"/>
      <c r="O49" s="36"/>
      <c r="P49" s="36"/>
      <c r="Q49" s="36"/>
      <c r="R49" s="36"/>
      <c r="S49" s="36"/>
    </row>
    <row r="50" spans="2:50" s="1" customFormat="1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83"/>
      <c r="O50" s="36"/>
      <c r="P50" s="36"/>
      <c r="Q50" s="36"/>
      <c r="R50" s="36"/>
      <c r="S50" s="36"/>
    </row>
    <row r="51" spans="2:50" s="1" customFormat="1" ht="15" thickBot="1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2:50" s="1" customFormat="1" ht="18">
      <c r="B52" s="38" t="s">
        <v>7</v>
      </c>
      <c r="C52" s="101"/>
      <c r="D52" s="39" t="s">
        <v>0</v>
      </c>
      <c r="E52" s="40">
        <v>2009</v>
      </c>
      <c r="F52" s="40">
        <v>2010</v>
      </c>
      <c r="G52" s="40">
        <v>2011</v>
      </c>
      <c r="H52" s="40">
        <v>2012</v>
      </c>
      <c r="I52" s="40">
        <v>2013</v>
      </c>
      <c r="J52" s="40">
        <v>2014</v>
      </c>
      <c r="K52" s="40">
        <v>2015</v>
      </c>
      <c r="L52" s="40">
        <v>2016</v>
      </c>
      <c r="M52" s="40">
        <v>2017</v>
      </c>
      <c r="N52" s="40">
        <v>2018</v>
      </c>
      <c r="O52" s="40">
        <v>2019</v>
      </c>
      <c r="P52" s="434">
        <v>2020</v>
      </c>
      <c r="Q52" s="41">
        <v>2021</v>
      </c>
      <c r="R52" s="36"/>
      <c r="S52" s="36"/>
    </row>
    <row r="53" spans="2:50" s="1" customFormat="1">
      <c r="B53" s="42" t="s">
        <v>6</v>
      </c>
      <c r="C53" s="390"/>
      <c r="D53" s="43"/>
      <c r="E53" s="44">
        <v>2010</v>
      </c>
      <c r="F53" s="44">
        <v>2011</v>
      </c>
      <c r="G53" s="44">
        <v>2012</v>
      </c>
      <c r="H53" s="44">
        <v>2013</v>
      </c>
      <c r="I53" s="44">
        <v>2014</v>
      </c>
      <c r="J53" s="44">
        <v>2015</v>
      </c>
      <c r="K53" s="44">
        <v>2016</v>
      </c>
      <c r="L53" s="44">
        <v>2017</v>
      </c>
      <c r="M53" s="44">
        <v>2018</v>
      </c>
      <c r="N53" s="44">
        <v>2019</v>
      </c>
      <c r="O53" s="44">
        <v>2020</v>
      </c>
      <c r="P53" s="533">
        <v>2021</v>
      </c>
      <c r="Q53" s="45">
        <v>2022</v>
      </c>
      <c r="R53" s="36"/>
      <c r="S53" s="36"/>
    </row>
    <row r="54" spans="2:50" s="1" customFormat="1" ht="30" customHeight="1">
      <c r="B54" s="654" t="s">
        <v>46</v>
      </c>
      <c r="C54" s="655"/>
      <c r="D54" s="655"/>
      <c r="E54" s="655"/>
      <c r="F54" s="655"/>
      <c r="G54" s="655"/>
      <c r="H54" s="655"/>
      <c r="I54" s="655"/>
      <c r="J54" s="655"/>
      <c r="K54" s="655"/>
      <c r="L54" s="655"/>
      <c r="M54" s="655"/>
      <c r="N54" s="655"/>
      <c r="O54" s="655"/>
      <c r="P54" s="655"/>
      <c r="Q54" s="656"/>
      <c r="R54" s="36"/>
      <c r="S54" s="36"/>
    </row>
    <row r="55" spans="2:50" s="1" customFormat="1" ht="29">
      <c r="B55" s="46" t="s">
        <v>192</v>
      </c>
      <c r="C55" s="53" t="s">
        <v>289</v>
      </c>
      <c r="D55" s="43" t="s">
        <v>9</v>
      </c>
      <c r="E55" s="104">
        <f>'Mise sur le marché'!E95</f>
        <v>136.10565863237798</v>
      </c>
      <c r="F55" s="104">
        <f>'Mise sur le marché'!F95</f>
        <v>171</v>
      </c>
      <c r="G55" s="104">
        <f>'Mise sur le marché'!G95</f>
        <v>188</v>
      </c>
      <c r="H55" s="104">
        <f>'Mise sur le marché'!H95</f>
        <v>205</v>
      </c>
      <c r="I55" s="104">
        <f>'Mise sur le marché'!I95</f>
        <v>206</v>
      </c>
      <c r="J55" s="104">
        <f>'Mise sur le marché'!J95</f>
        <v>211.96976660737113</v>
      </c>
      <c r="K55" s="104">
        <f>'Mise sur le marché'!K95</f>
        <v>209</v>
      </c>
      <c r="L55" s="104">
        <f>'Mise sur le marché'!L95</f>
        <v>206</v>
      </c>
      <c r="M55" s="104">
        <f>'Mise sur le marché'!M95</f>
        <v>171.69707677746689</v>
      </c>
      <c r="N55" s="74">
        <f>'Mise sur le marché'!N95</f>
        <v>170.89996925659807</v>
      </c>
      <c r="O55" s="74">
        <f>'Mise sur le marché'!O95</f>
        <v>177.49684113135521</v>
      </c>
      <c r="P55" s="543">
        <f>'Mise sur le marché'!P95</f>
        <v>181.21750528269786</v>
      </c>
      <c r="Q55" s="529">
        <f>'Mise sur le marché'!Q95</f>
        <v>194.4996524487</v>
      </c>
      <c r="R55" s="36"/>
      <c r="S55" s="36"/>
    </row>
    <row r="56" spans="2:50" s="1" customFormat="1">
      <c r="B56" s="87" t="s">
        <v>66</v>
      </c>
      <c r="C56" s="105" t="s">
        <v>123</v>
      </c>
      <c r="D56" s="106" t="s">
        <v>2</v>
      </c>
      <c r="E56" s="109">
        <f t="shared" ref="E56:Q56" si="11">E55/E7*1000</f>
        <v>150.60065560724252</v>
      </c>
      <c r="F56" s="109">
        <f t="shared" si="11"/>
        <v>185.61144682117288</v>
      </c>
      <c r="G56" s="109">
        <f t="shared" si="11"/>
        <v>198.24449813033323</v>
      </c>
      <c r="H56" s="109">
        <f t="shared" si="11"/>
        <v>201.49861408696748</v>
      </c>
      <c r="I56" s="109">
        <f t="shared" si="11"/>
        <v>201.04756987914627</v>
      </c>
      <c r="J56" s="109">
        <f t="shared" si="11"/>
        <v>202.3707223606967</v>
      </c>
      <c r="K56" s="109">
        <f t="shared" si="11"/>
        <v>198.60618846084762</v>
      </c>
      <c r="L56" s="109">
        <f t="shared" si="11"/>
        <v>188.66258391834674</v>
      </c>
      <c r="M56" s="109">
        <f t="shared" si="11"/>
        <v>153.27115730968541</v>
      </c>
      <c r="N56" s="109">
        <f t="shared" si="11"/>
        <v>150.34956110197345</v>
      </c>
      <c r="O56" s="109">
        <f t="shared" si="11"/>
        <v>154.43106767172728</v>
      </c>
      <c r="P56" s="544">
        <f t="shared" ref="P56" si="12">P55/P7*1000</f>
        <v>155.11623083096279</v>
      </c>
      <c r="Q56" s="89">
        <f t="shared" si="11"/>
        <v>167.98643664264958</v>
      </c>
      <c r="R56" s="36"/>
      <c r="S56" s="36"/>
    </row>
    <row r="57" spans="2:50" s="1" customFormat="1" ht="29">
      <c r="B57" s="46" t="s">
        <v>75</v>
      </c>
      <c r="C57" s="53" t="s">
        <v>289</v>
      </c>
      <c r="D57" s="43" t="s">
        <v>9</v>
      </c>
      <c r="E57" s="74">
        <v>120.46341072</v>
      </c>
      <c r="F57" s="74">
        <v>132.41099999999997</v>
      </c>
      <c r="G57" s="74">
        <v>166</v>
      </c>
      <c r="H57" s="74">
        <v>178</v>
      </c>
      <c r="I57" s="74">
        <v>183</v>
      </c>
      <c r="J57" s="74">
        <v>180</v>
      </c>
      <c r="K57" s="74">
        <v>183.9</v>
      </c>
      <c r="L57" s="74">
        <v>189.7395904</v>
      </c>
      <c r="M57" s="74">
        <v>195.6</v>
      </c>
      <c r="N57" s="74">
        <v>151.19999999999999</v>
      </c>
      <c r="O57" s="74">
        <v>156.718078432645</v>
      </c>
      <c r="P57" s="543">
        <v>152.82248782937333</v>
      </c>
      <c r="Q57" s="529">
        <v>167.9185461302566</v>
      </c>
      <c r="R57" s="36"/>
      <c r="S57" s="122"/>
    </row>
    <row r="58" spans="2:50" s="1" customFormat="1">
      <c r="B58" s="87" t="s">
        <v>67</v>
      </c>
      <c r="C58" s="105" t="s">
        <v>123</v>
      </c>
      <c r="D58" s="106" t="s">
        <v>2</v>
      </c>
      <c r="E58" s="109">
        <f t="shared" ref="E58:Q58" si="13">E57/E7*1000</f>
        <v>133.29253767558481</v>
      </c>
      <c r="F58" s="109">
        <f t="shared" si="13"/>
        <v>143.72513032186149</v>
      </c>
      <c r="G58" s="109">
        <f t="shared" si="13"/>
        <v>175.04567388103891</v>
      </c>
      <c r="H58" s="109">
        <f t="shared" si="13"/>
        <v>174.9597722316108</v>
      </c>
      <c r="I58" s="109">
        <f t="shared" si="13"/>
        <v>178.60051110623186</v>
      </c>
      <c r="J58" s="109">
        <f t="shared" si="13"/>
        <v>171.84870563356409</v>
      </c>
      <c r="K58" s="109">
        <f t="shared" si="13"/>
        <v>174.75444046865971</v>
      </c>
      <c r="L58" s="109">
        <f t="shared" si="13"/>
        <v>173.77068639064436</v>
      </c>
      <c r="M58" s="109">
        <f t="shared" si="13"/>
        <v>174.6089038465735</v>
      </c>
      <c r="N58" s="109">
        <f t="shared" si="13"/>
        <v>133.01847705125155</v>
      </c>
      <c r="O58" s="109">
        <f t="shared" si="13"/>
        <v>136.35251208726726</v>
      </c>
      <c r="P58" s="544">
        <f t="shared" ref="P58" si="14">P57/P7*1000</f>
        <v>130.81102877629331</v>
      </c>
      <c r="Q58" s="89">
        <f t="shared" si="13"/>
        <v>145.02873324195866</v>
      </c>
      <c r="R58" s="36"/>
      <c r="S58" s="36"/>
    </row>
    <row r="59" spans="2:50" s="1" customFormat="1">
      <c r="B59" s="46" t="s">
        <v>278</v>
      </c>
      <c r="C59" s="53" t="s">
        <v>289</v>
      </c>
      <c r="D59" s="43" t="s">
        <v>2</v>
      </c>
      <c r="E59" s="661">
        <v>26</v>
      </c>
      <c r="F59" s="661">
        <v>72</v>
      </c>
      <c r="G59" s="661">
        <v>102</v>
      </c>
      <c r="H59" s="661">
        <v>85</v>
      </c>
      <c r="I59" s="661">
        <v>79</v>
      </c>
      <c r="J59" s="661">
        <v>75.8</v>
      </c>
      <c r="K59" s="659">
        <f>'Indicateurs économiques - Citeo'!K130</f>
        <v>89.6</v>
      </c>
      <c r="L59" s="659">
        <f>'Indicateurs économiques - Citeo'!L130</f>
        <v>97.308999999999983</v>
      </c>
      <c r="M59" s="659">
        <f>'Indicateurs économiques - Citeo'!M130</f>
        <v>106.8</v>
      </c>
      <c r="N59" s="659">
        <f>'Indicateurs économiques - Citeo'!N130</f>
        <v>75.2</v>
      </c>
      <c r="O59" s="659">
        <f>'Indicateurs économiques - Citeo'!O130</f>
        <v>48.841840185226999</v>
      </c>
      <c r="P59" s="659">
        <f>'Indicateurs économiques - Citeo'!P130</f>
        <v>30.8775217553051</v>
      </c>
      <c r="Q59" s="657">
        <f>'Indicateurs économiques - Citeo'!Q130</f>
        <v>146.33956278418441</v>
      </c>
      <c r="R59" s="36"/>
      <c r="S59" s="36"/>
    </row>
    <row r="60" spans="2:50" s="1" customFormat="1">
      <c r="B60" s="46" t="s">
        <v>280</v>
      </c>
      <c r="C60" s="53" t="s">
        <v>289</v>
      </c>
      <c r="D60" s="43" t="s">
        <v>2</v>
      </c>
      <c r="E60" s="661"/>
      <c r="F60" s="661"/>
      <c r="G60" s="661"/>
      <c r="H60" s="661"/>
      <c r="I60" s="661"/>
      <c r="J60" s="661"/>
      <c r="K60" s="660"/>
      <c r="L60" s="660"/>
      <c r="M60" s="660"/>
      <c r="N60" s="660"/>
      <c r="O60" s="660"/>
      <c r="P60" s="660"/>
      <c r="Q60" s="658"/>
      <c r="R60" s="36"/>
      <c r="S60" s="36"/>
    </row>
    <row r="61" spans="2:50" s="1" customFormat="1" ht="15" thickBot="1">
      <c r="B61" s="75" t="s">
        <v>279</v>
      </c>
      <c r="C61" s="76" t="s">
        <v>289</v>
      </c>
      <c r="D61" s="77" t="s">
        <v>2</v>
      </c>
      <c r="E61" s="78"/>
      <c r="F61" s="78"/>
      <c r="G61" s="78"/>
      <c r="H61" s="78"/>
      <c r="I61" s="78"/>
      <c r="J61" s="78"/>
      <c r="K61" s="483">
        <f>'Indicateurs économiques - Citeo'!K131</f>
        <v>8.1999999999999993</v>
      </c>
      <c r="L61" s="483">
        <f>'Indicateurs économiques - Citeo'!L131</f>
        <v>7.6</v>
      </c>
      <c r="M61" s="483">
        <f>'Indicateurs économiques - Citeo'!M131</f>
        <v>8.1</v>
      </c>
      <c r="N61" s="483">
        <f>'Indicateurs économiques - Citeo'!N131</f>
        <v>10.7</v>
      </c>
      <c r="O61" s="483">
        <f>'Indicateurs économiques - Citeo'!O131</f>
        <v>10.199999999999999</v>
      </c>
      <c r="P61" s="483">
        <f>'Indicateurs économiques - Citeo'!P131</f>
        <v>7.6</v>
      </c>
      <c r="Q61" s="557">
        <f>'Indicateurs économiques - Citeo'!Q131</f>
        <v>11.071444026582865</v>
      </c>
      <c r="R61" s="36"/>
      <c r="S61" s="36"/>
    </row>
    <row r="62" spans="2:50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2:50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2:50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2:50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2:50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2:50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2:50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2:50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2:50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2:50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2:50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2:50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2:50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2:50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2:50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2:50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2:50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2:50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2:50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2:50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2:50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2:50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2:50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2:50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2:50" s="1" customFormat="1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</row>
    <row r="87" spans="2:50" s="1" customFormat="1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</row>
    <row r="88" spans="2:50" s="1" customFormat="1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</row>
    <row r="89" spans="2:50" s="1" customFormat="1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</row>
    <row r="90" spans="2:50" s="1" customFormat="1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2:50" s="1" customFormat="1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</row>
    <row r="92" spans="2:50" s="1" customFormat="1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</row>
    <row r="93" spans="2:50" s="1" customFormat="1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2:50" s="1" customFormat="1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2:50" s="1" customFormat="1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2:50" s="1" customFormat="1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2:19" s="1" customFormat="1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</row>
    <row r="98" spans="2:19" s="1" customFormat="1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2:19" s="1" customFormat="1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</row>
    <row r="100" spans="2:19" s="1" customForma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2:19" s="1" customForma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2:19" s="1" customForma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2:19" s="1" customForma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</row>
    <row r="104" spans="2:19" s="1" customForma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2:19" s="1" customForma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2:19" s="1" customForma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2:19" s="1" customForma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2:19" s="1" customForma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2:19" s="1" customForma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spans="2:19" s="1" customForma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</row>
    <row r="111" spans="2:19" s="1" customForma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</row>
    <row r="112" spans="2:19" s="1" customForma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</row>
    <row r="113" spans="2:19" s="1" customForma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2:19" s="1" customForma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2:19" s="1" customForma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2:19" s="1" customForma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2:19" s="1" customForma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2:19" s="1" customForma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2:19" s="1" customForma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2:19" s="1" customFormat="1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2:19" s="1" customFormat="1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2:19" s="1" customFormat="1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2:19" s="1" customFormat="1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2:19" s="1" customFormat="1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2:19" s="1" customFormat="1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2:19" s="1" customForma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2:19" s="1" customFormat="1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2:19" s="1" customFormat="1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2:19" s="1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2:19" s="1" customFormat="1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2:19" s="1" customFormat="1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2:19" s="1" customFormat="1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2:19" s="1" customFormat="1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2:19" s="1" customFormat="1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</row>
    <row r="135" spans="2:19" s="1" customFormat="1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</row>
    <row r="136" spans="2:19" s="1" customFormat="1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2:19" s="1" customFormat="1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</row>
    <row r="138" spans="2:19" s="1" customFormat="1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2:19" s="1" customFormat="1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2:19" s="1" customFormat="1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2:19" s="1" customFormat="1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2:19" s="1" customFormat="1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2:19" s="1" customForma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2:19" s="1" customFormat="1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2:19" s="1" customFormat="1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2:19" s="1" customFormat="1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2:19" s="1" customFormat="1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2:19" s="1" customFormat="1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2:19" s="1" customFormat="1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2:19" s="1" customFormat="1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2:19" s="1" customFormat="1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2:19" s="1" customFormat="1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2:19" s="1" customFormat="1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2:19" s="1" customFormat="1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</row>
    <row r="155" spans="2:19" s="1" customFormat="1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2:19" s="1" customFormat="1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2:19" s="1" customFormat="1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2:19" s="1" customFormat="1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2:19" s="1" customFormat="1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</row>
    <row r="160" spans="2:19" s="1" customFormat="1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2:19" s="1" customFormat="1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2:19" s="1" customFormat="1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</row>
    <row r="163" spans="2:19" s="1" customFormat="1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2:19" s="1" customFormat="1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2:19" s="1" customFormat="1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2:19" s="1" customFormat="1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2:19" s="1" customFormat="1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2:19" s="1" customFormat="1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2:19" s="1" customFormat="1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2:19" s="1" customFormat="1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2:19" s="1" customFormat="1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2:19" s="1" customFormat="1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2:19" s="1" customFormat="1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2:19" s="1" customFormat="1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spans="2:19" s="1" customFormat="1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</row>
    <row r="176" spans="2:19" s="1" customFormat="1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</row>
    <row r="177" spans="2:19" s="1" customFormat="1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</row>
    <row r="178" spans="2:19" s="1" customFormat="1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</row>
    <row r="179" spans="2:19" s="1" customFormat="1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</row>
    <row r="180" spans="2:19" s="1" customFormat="1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</row>
    <row r="181" spans="2:19" s="1" customFormat="1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</row>
    <row r="182" spans="2:19" s="1" customFormat="1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</row>
    <row r="183" spans="2:19" s="1" customFormat="1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</row>
    <row r="184" spans="2:19" s="1" customFormat="1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</row>
    <row r="185" spans="2:19" s="1" customFormat="1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</row>
    <row r="186" spans="2:19" s="1" customFormat="1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2:19" s="1" customFormat="1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</row>
    <row r="188" spans="2:19" s="1" customFormat="1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</row>
    <row r="189" spans="2:19" s="1" customFormat="1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</row>
    <row r="190" spans="2:19" s="1" customFormat="1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</row>
    <row r="191" spans="2:19" s="1" customFormat="1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</row>
    <row r="192" spans="2:19" s="1" customFormat="1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</row>
    <row r="193" spans="2:19" s="1" customFormat="1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</row>
    <row r="194" spans="2:19" s="1" customFormat="1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</row>
    <row r="195" spans="2:19" s="1" customFormat="1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</row>
    <row r="196" spans="2:19" s="1" customFormat="1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spans="2:19" s="1" customFormat="1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</row>
    <row r="198" spans="2:19" s="1" customFormat="1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</row>
    <row r="199" spans="2:19" s="1" customFormat="1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</row>
    <row r="200" spans="2:19" s="1" customFormat="1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</row>
    <row r="201" spans="2:19" s="1" customFormat="1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</row>
    <row r="202" spans="2:19" s="1" customFormat="1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</row>
    <row r="203" spans="2:19" s="1" customFormat="1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</row>
    <row r="204" spans="2:19" s="1" customFormat="1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</row>
    <row r="205" spans="2:19" s="1" customFormat="1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</row>
    <row r="206" spans="2:19" s="1" customFormat="1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</row>
    <row r="207" spans="2:19" s="1" customFormat="1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</row>
    <row r="208" spans="2:19" s="1" customFormat="1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</row>
    <row r="209" spans="2:19" s="1" customFormat="1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</row>
    <row r="210" spans="2:19" s="1" customFormat="1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</row>
    <row r="211" spans="2:19" s="1" customFormat="1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</row>
    <row r="212" spans="2:19" s="1" customFormat="1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</row>
    <row r="213" spans="2:19" s="1" customFormat="1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</row>
    <row r="214" spans="2:19" s="1" customFormat="1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</row>
    <row r="215" spans="2:19" s="1" customFormat="1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</row>
    <row r="216" spans="2:19" s="1" customFormat="1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</row>
    <row r="217" spans="2:19" s="1" customFormat="1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</row>
    <row r="218" spans="2:19" s="1" customFormat="1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</row>
    <row r="219" spans="2:19" s="1" customFormat="1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</row>
    <row r="220" spans="2:19" s="1" customFormat="1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</row>
    <row r="221" spans="2:19" s="1" customFormat="1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</row>
    <row r="222" spans="2:19" s="1" customFormat="1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</row>
    <row r="223" spans="2:19" s="1" customFormat="1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</row>
    <row r="224" spans="2:19" s="1" customFormat="1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</row>
    <row r="225" spans="2:19" s="1" customFormat="1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</row>
    <row r="226" spans="2:19" s="1" customFormat="1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</row>
    <row r="227" spans="2:19" s="1" customFormat="1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</row>
    <row r="228" spans="2:19" s="1" customFormat="1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</row>
    <row r="229" spans="2:19" s="1" customFormat="1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</row>
    <row r="230" spans="2:19" s="1" customFormat="1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</row>
    <row r="231" spans="2:19" s="1" customFormat="1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</row>
    <row r="232" spans="2:19" s="1" customFormat="1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</row>
    <row r="233" spans="2:19" s="1" customFormat="1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</row>
    <row r="234" spans="2:19" s="1" customFormat="1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</row>
    <row r="235" spans="2:19" s="1" customFormat="1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</row>
    <row r="236" spans="2:19" s="1" customFormat="1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</row>
    <row r="237" spans="2:19" s="1" customFormat="1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</row>
    <row r="238" spans="2:19" s="1" customFormat="1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</row>
    <row r="239" spans="2:19" s="1" customFormat="1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</row>
    <row r="240" spans="2:19" s="1" customFormat="1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</row>
    <row r="241" spans="2:19" s="1" customFormat="1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</row>
    <row r="242" spans="2:19" s="1" customFormat="1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</row>
    <row r="243" spans="2:19" s="1" customFormat="1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</row>
    <row r="244" spans="2:19" s="1" customFormat="1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</row>
    <row r="245" spans="2:19" s="1" customFormat="1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</row>
    <row r="246" spans="2:19" s="1" customFormat="1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</row>
    <row r="247" spans="2:19" s="1" customFormat="1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</row>
    <row r="248" spans="2:19" s="1" customFormat="1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</row>
    <row r="249" spans="2:19" s="1" customFormat="1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</row>
    <row r="250" spans="2:19" s="1" customFormat="1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</row>
    <row r="251" spans="2:19" s="1" customFormat="1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</row>
    <row r="252" spans="2:19" s="1" customFormat="1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</row>
    <row r="253" spans="2:19" s="1" customFormat="1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</row>
    <row r="254" spans="2:19" s="1" customFormat="1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</row>
    <row r="255" spans="2:19" s="1" customForma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</row>
    <row r="256" spans="2:19" s="1" customFormat="1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</row>
    <row r="257" spans="2:19" s="1" customFormat="1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</row>
    <row r="258" spans="2:19" s="1" customFormat="1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</row>
    <row r="259" spans="2:19" s="1" customFormat="1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</row>
    <row r="260" spans="2:19" s="1" customFormat="1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</row>
    <row r="261" spans="2:19" s="1" customFormat="1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</row>
    <row r="262" spans="2:19" s="1" customFormat="1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</row>
    <row r="263" spans="2:19" s="1" customFormat="1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</row>
    <row r="264" spans="2:19" s="1" customFormat="1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</row>
    <row r="265" spans="2:19" s="1" customFormat="1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</row>
    <row r="266" spans="2:19" s="1" customFormat="1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</row>
    <row r="267" spans="2:19" s="1" customFormat="1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</row>
    <row r="268" spans="2:19" s="1" customFormat="1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</row>
    <row r="269" spans="2:19" s="1" customFormat="1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</row>
    <row r="270" spans="2:19" s="1" customFormat="1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</row>
    <row r="271" spans="2:19" s="1" customFormat="1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</row>
    <row r="272" spans="2:19" s="1" customFormat="1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</row>
    <row r="273" spans="2:19" s="1" customFormat="1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</row>
    <row r="274" spans="2:19" s="1" customFormat="1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</row>
    <row r="275" spans="2:19" s="1" customFormat="1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</row>
    <row r="276" spans="2:19" s="1" customFormat="1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</row>
    <row r="277" spans="2:19" s="1" customFormat="1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</row>
    <row r="278" spans="2:19" s="1" customFormat="1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</row>
    <row r="279" spans="2:19" s="1" customFormat="1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</row>
    <row r="280" spans="2:19" s="1" customFormat="1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</row>
    <row r="281" spans="2:19" s="1" customFormat="1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</row>
    <row r="282" spans="2:19" s="1" customFormat="1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</row>
    <row r="283" spans="2:19" s="1" customFormat="1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</row>
    <row r="284" spans="2:19" s="1" customFormat="1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</row>
    <row r="285" spans="2:19" s="1" customFormat="1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</row>
    <row r="286" spans="2:19" s="1" customFormat="1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</row>
    <row r="287" spans="2:19" s="1" customFormat="1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</row>
    <row r="288" spans="2:19" s="1" customFormat="1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</row>
    <row r="289" spans="2:19" s="1" customFormat="1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</row>
    <row r="290" spans="2:19" s="1" customFormat="1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</row>
    <row r="291" spans="2:19" s="1" customFormat="1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</row>
    <row r="292" spans="2:19" s="1" customFormat="1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</row>
    <row r="293" spans="2:19" s="1" customFormat="1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</row>
    <row r="294" spans="2:19" s="1" customFormat="1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</row>
    <row r="295" spans="2:19" s="1" customFormat="1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</row>
    <row r="296" spans="2:19" s="1" customFormat="1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</row>
    <row r="297" spans="2:19" s="1" customFormat="1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</row>
    <row r="298" spans="2:19" s="1" customFormat="1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</row>
    <row r="299" spans="2:19" s="1" customFormat="1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</row>
    <row r="300" spans="2:19" s="1" customFormat="1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</row>
    <row r="301" spans="2:19" s="1" customFormat="1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</row>
    <row r="302" spans="2:19" s="1" customFormat="1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</row>
    <row r="303" spans="2:19" s="1" customFormat="1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</row>
    <row r="304" spans="2:19" s="1" customFormat="1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</row>
    <row r="305" spans="2:19" s="1" customFormat="1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</row>
    <row r="306" spans="2:19" s="1" customFormat="1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</row>
    <row r="307" spans="2:19" s="1" customFormat="1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</row>
    <row r="308" spans="2:19" s="1" customFormat="1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</row>
    <row r="309" spans="2:19" s="1" customFormat="1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</row>
    <row r="310" spans="2:19" s="1" customFormat="1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</row>
    <row r="311" spans="2:19" s="1" customFormat="1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</row>
    <row r="312" spans="2:19" s="1" customFormat="1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</row>
    <row r="313" spans="2:19" s="1" customFormat="1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</row>
    <row r="314" spans="2:19" s="1" customFormat="1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</row>
    <row r="315" spans="2:19" s="1" customFormat="1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</row>
    <row r="316" spans="2:19" s="1" customFormat="1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</row>
    <row r="317" spans="2:19" s="1" customFormat="1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</row>
    <row r="318" spans="2:19" s="1" customFormat="1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</row>
    <row r="319" spans="2:19" s="1" customFormat="1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</row>
    <row r="320" spans="2:19" s="1" customFormat="1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</row>
    <row r="321" spans="2:19" s="1" customFormat="1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</row>
    <row r="322" spans="2:19" s="1" customFormat="1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</row>
    <row r="323" spans="2:19" s="1" customFormat="1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</row>
    <row r="324" spans="2:19" s="1" customFormat="1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</row>
    <row r="325" spans="2:19" s="1" customFormat="1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</row>
    <row r="326" spans="2:19" s="1" customFormat="1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</row>
    <row r="327" spans="2:19" s="1" customFormat="1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</row>
    <row r="328" spans="2:19" s="1" customFormat="1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</row>
    <row r="329" spans="2:19" s="1" customFormat="1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</row>
    <row r="330" spans="2:19" s="1" customFormat="1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</row>
    <row r="331" spans="2:19" s="1" customFormat="1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</row>
    <row r="332" spans="2:19" s="1" customFormat="1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</row>
    <row r="333" spans="2:19" s="1" customFormat="1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</row>
    <row r="334" spans="2:19" s="1" customFormat="1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</row>
    <row r="335" spans="2:19" s="1" customFormat="1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</row>
    <row r="336" spans="2:19" s="1" customFormat="1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</row>
    <row r="337" spans="2:19" s="1" customFormat="1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</row>
    <row r="338" spans="2:19" s="1" customFormat="1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</row>
    <row r="339" spans="2:19" s="1" customFormat="1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</row>
    <row r="340" spans="2:19" s="1" customFormat="1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</row>
    <row r="341" spans="2:19" s="1" customForma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</row>
    <row r="342" spans="2:19" s="1" customFormat="1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</row>
    <row r="343" spans="2:19" s="1" customFormat="1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</row>
    <row r="344" spans="2:19" s="1" customFormat="1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</row>
    <row r="345" spans="2:19" s="1" customFormat="1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</row>
    <row r="346" spans="2:19" s="1" customFormat="1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</row>
    <row r="347" spans="2:19" s="1" customFormat="1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</row>
    <row r="348" spans="2:19" s="1" customFormat="1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</row>
    <row r="349" spans="2:19" s="1" customFormat="1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</row>
    <row r="350" spans="2:19" s="1" customFormat="1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</row>
    <row r="351" spans="2:19" s="1" customFormat="1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</row>
    <row r="352" spans="2:19" s="1" customFormat="1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</row>
    <row r="353" spans="2:19" s="1" customFormat="1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</row>
    <row r="354" spans="2:19" s="1" customFormat="1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</row>
    <row r="355" spans="2:19" s="1" customFormat="1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</row>
    <row r="356" spans="2:19" s="1" customFormat="1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</row>
    <row r="357" spans="2:19" s="1" customFormat="1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</row>
    <row r="358" spans="2:19" s="1" customFormat="1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</row>
    <row r="359" spans="2:19" s="1" customFormat="1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</row>
    <row r="360" spans="2:19" s="1" customFormat="1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</row>
    <row r="361" spans="2:19" s="1" customFormat="1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</row>
    <row r="362" spans="2:19" s="1" customFormat="1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</row>
    <row r="363" spans="2:19" s="1" customFormat="1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</row>
    <row r="364" spans="2:19" s="1" customFormat="1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</row>
    <row r="365" spans="2:19" s="1" customFormat="1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2:19" s="1" customFormat="1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</row>
    <row r="367" spans="2:19" s="1" customFormat="1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</row>
    <row r="368" spans="2:19" s="1" customFormat="1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</row>
    <row r="369" spans="2:19" s="1" customFormat="1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</row>
    <row r="370" spans="2:19" s="1" customFormat="1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</row>
    <row r="371" spans="2:19" s="1" customFormat="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</row>
    <row r="372" spans="2:19" s="1" customFormat="1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</row>
    <row r="373" spans="2:19" s="1" customFormat="1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</row>
    <row r="374" spans="2:19" s="1" customFormat="1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</row>
    <row r="375" spans="2:19" s="1" customFormat="1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</row>
    <row r="376" spans="2:19" s="1" customFormat="1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</row>
    <row r="377" spans="2:19" s="1" customFormat="1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</row>
    <row r="378" spans="2:19" s="1" customFormat="1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</row>
    <row r="379" spans="2:19" s="1" customFormat="1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</row>
    <row r="380" spans="2:19" s="1" customFormat="1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</row>
    <row r="381" spans="2:19" s="1" customFormat="1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</row>
    <row r="382" spans="2:19" s="1" customFormat="1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</row>
    <row r="383" spans="2:19" s="1" customFormat="1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</row>
    <row r="384" spans="2:19" s="1" customFormat="1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</row>
    <row r="385" spans="2:19" s="1" customFormat="1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</row>
    <row r="386" spans="2:19" s="1" customFormat="1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</row>
    <row r="387" spans="2:19" s="1" customFormat="1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</row>
    <row r="388" spans="2:19" s="1" customFormat="1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</row>
    <row r="389" spans="2:19" s="1" customFormat="1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</row>
    <row r="390" spans="2:19" s="1" customFormat="1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</row>
    <row r="391" spans="2:19" s="1" customFormat="1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</row>
    <row r="392" spans="2:19" s="1" customFormat="1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</row>
    <row r="393" spans="2:19" s="1" customFormat="1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</row>
    <row r="394" spans="2:19" s="1" customFormat="1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</row>
    <row r="395" spans="2:19" s="1" customFormat="1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</row>
    <row r="396" spans="2:19" s="1" customFormat="1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</row>
    <row r="397" spans="2:19" s="1" customFormat="1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</row>
    <row r="398" spans="2:19" s="1" customFormat="1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</row>
    <row r="399" spans="2:19" s="1" customFormat="1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</row>
    <row r="400" spans="2:19" s="1" customFormat="1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</row>
    <row r="401" spans="2:19" s="1" customFormat="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</row>
    <row r="402" spans="2:19" s="1" customFormat="1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</row>
    <row r="403" spans="2:19" s="1" customFormat="1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</row>
    <row r="404" spans="2:19" s="1" customFormat="1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</row>
    <row r="405" spans="2:19" s="1" customFormat="1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</row>
    <row r="406" spans="2:19" s="1" customFormat="1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</row>
    <row r="407" spans="2:19" s="1" customFormat="1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</row>
    <row r="408" spans="2:19" s="1" customFormat="1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</row>
    <row r="409" spans="2:19" s="1" customFormat="1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</row>
    <row r="410" spans="2:19" s="1" customFormat="1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</row>
    <row r="411" spans="2:19" s="1" customFormat="1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</row>
    <row r="412" spans="2:19" s="1" customFormat="1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</row>
    <row r="413" spans="2:19" s="1" customFormat="1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</row>
    <row r="414" spans="2:19" s="1" customFormat="1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</row>
    <row r="415" spans="2:19" s="1" customFormat="1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</row>
    <row r="416" spans="2:19" s="1" customFormat="1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</row>
    <row r="417" spans="2:19" s="1" customFormat="1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</row>
    <row r="418" spans="2:19" s="1" customFormat="1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</row>
    <row r="419" spans="2:19" s="1" customFormat="1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</row>
    <row r="420" spans="2:19" s="1" customFormat="1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</row>
    <row r="421" spans="2:19" s="1" customFormat="1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</row>
    <row r="422" spans="2:19" s="1" customFormat="1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</row>
    <row r="423" spans="2:19" s="1" customFormat="1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</row>
    <row r="424" spans="2:19" s="1" customFormat="1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</row>
    <row r="425" spans="2:19" s="1" customFormat="1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</row>
    <row r="426" spans="2:19" s="1" customFormat="1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</row>
    <row r="427" spans="2:19" s="1" customFormat="1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</row>
    <row r="428" spans="2:19" s="1" customFormat="1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</row>
    <row r="429" spans="2:19" s="1" customFormat="1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</row>
    <row r="430" spans="2:19" s="1" customFormat="1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</row>
    <row r="431" spans="2:19" s="1" customFormat="1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</row>
    <row r="432" spans="2:19" s="1" customFormat="1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</row>
    <row r="433" spans="2:19" s="1" customFormat="1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</row>
    <row r="434" spans="2:19" s="1" customFormat="1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</row>
    <row r="435" spans="2:19" s="1" customFormat="1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</row>
    <row r="436" spans="2:19" s="1" customFormat="1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</row>
    <row r="437" spans="2:19" s="1" customFormat="1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</row>
    <row r="438" spans="2:19" s="1" customFormat="1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</row>
    <row r="439" spans="2:19" s="1" customFormat="1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</row>
    <row r="440" spans="2:19" s="1" customFormat="1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</row>
    <row r="441" spans="2:19" s="1" customFormat="1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</row>
    <row r="442" spans="2:19" s="1" customFormat="1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</row>
    <row r="443" spans="2:19" s="1" customFormat="1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</row>
    <row r="444" spans="2:19" s="1" customFormat="1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</row>
    <row r="445" spans="2:19" s="1" customFormat="1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</row>
    <row r="446" spans="2:19" s="1" customFormat="1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</row>
    <row r="447" spans="2:19" s="1" customFormat="1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</row>
    <row r="448" spans="2:19" s="1" customFormat="1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</row>
    <row r="449" spans="2:19" s="1" customFormat="1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</row>
    <row r="450" spans="2:19" s="1" customFormat="1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</row>
    <row r="451" spans="2:19" s="1" customFormat="1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</row>
    <row r="452" spans="2:19" s="1" customFormat="1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</row>
    <row r="453" spans="2:19" s="1" customFormat="1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</row>
    <row r="454" spans="2:19" s="1" customFormat="1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</row>
    <row r="455" spans="2:19" s="1" customFormat="1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</row>
    <row r="456" spans="2:19" s="1" customFormat="1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</row>
    <row r="457" spans="2:19" s="1" customForma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</row>
    <row r="458" spans="2:19" s="1" customFormat="1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</row>
    <row r="459" spans="2:19" s="1" customFormat="1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</row>
    <row r="460" spans="2:19" s="1" customFormat="1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</row>
    <row r="461" spans="2:19" s="1" customFormat="1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</row>
    <row r="462" spans="2:19" s="1" customFormat="1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</row>
    <row r="463" spans="2:19" s="1" customFormat="1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</row>
    <row r="464" spans="2:19" s="1" customFormat="1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</row>
    <row r="465" spans="2:19" s="1" customFormat="1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</row>
    <row r="466" spans="2:19" s="1" customFormat="1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</row>
    <row r="467" spans="2:19" s="1" customFormat="1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</row>
    <row r="468" spans="2:19" s="1" customFormat="1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</row>
    <row r="469" spans="2:19" s="1" customFormat="1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</row>
    <row r="470" spans="2:19" s="1" customFormat="1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</row>
    <row r="471" spans="2:19" s="1" customFormat="1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</row>
    <row r="472" spans="2:19" s="1" customFormat="1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</row>
    <row r="473" spans="2:19" s="1" customFormat="1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</row>
    <row r="474" spans="2:19" s="1" customFormat="1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</row>
    <row r="475" spans="2:19" s="1" customFormat="1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</row>
    <row r="476" spans="2:19" s="1" customFormat="1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</row>
    <row r="477" spans="2:19" s="1" customFormat="1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</row>
    <row r="478" spans="2:19" s="1" customFormat="1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</row>
    <row r="479" spans="2:19" s="1" customFormat="1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</row>
    <row r="480" spans="2:19" s="1" customFormat="1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</row>
    <row r="481" spans="2:19" s="1" customFormat="1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</row>
    <row r="482" spans="2:19" s="1" customFormat="1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</row>
    <row r="483" spans="2:19" s="1" customFormat="1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</row>
    <row r="484" spans="2:19" s="1" customFormat="1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</row>
    <row r="485" spans="2:19" s="1" customFormat="1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</row>
    <row r="486" spans="2:19" s="1" customFormat="1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</row>
    <row r="487" spans="2:19" s="1" customFormat="1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</row>
    <row r="488" spans="2:19" s="1" customFormat="1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</row>
    <row r="489" spans="2:19" s="1" customFormat="1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</row>
    <row r="490" spans="2:19" s="1" customFormat="1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</row>
    <row r="491" spans="2:19" s="1" customFormat="1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</row>
    <row r="492" spans="2:19" s="1" customFormat="1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</row>
    <row r="493" spans="2:19" s="1" customFormat="1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</row>
    <row r="494" spans="2:19" s="1" customFormat="1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</row>
    <row r="495" spans="2:19" s="1" customFormat="1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</row>
    <row r="496" spans="2:19" s="1" customFormat="1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</row>
    <row r="497" spans="2:19" s="1" customFormat="1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</row>
    <row r="498" spans="2:19" s="1" customFormat="1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</row>
    <row r="499" spans="2:19" s="1" customFormat="1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</row>
    <row r="500" spans="2:19" s="1" customFormat="1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</row>
    <row r="501" spans="2:19" s="1" customFormat="1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</row>
    <row r="502" spans="2:19" s="1" customFormat="1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</row>
    <row r="503" spans="2:19" s="1" customFormat="1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</row>
    <row r="504" spans="2:19" s="1" customFormat="1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</row>
    <row r="505" spans="2:19" s="1" customFormat="1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</row>
    <row r="506" spans="2:19" s="1" customFormat="1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</row>
    <row r="507" spans="2:19" s="1" customFormat="1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</row>
    <row r="508" spans="2:19" s="1" customFormat="1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</row>
    <row r="509" spans="2:19" s="1" customFormat="1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</row>
    <row r="510" spans="2:19" s="1" customFormat="1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</row>
    <row r="511" spans="2:19" s="1" customFormat="1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</row>
    <row r="512" spans="2:19" s="1" customFormat="1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</row>
    <row r="513" spans="2:19" s="1" customFormat="1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</row>
    <row r="514" spans="2:19" s="1" customFormat="1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</row>
    <row r="515" spans="2:19" s="1" customFormat="1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</row>
    <row r="516" spans="2:19" s="1" customFormat="1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</row>
    <row r="517" spans="2:19" s="1" customFormat="1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</row>
    <row r="518" spans="2:19" s="1" customFormat="1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</row>
    <row r="519" spans="2:19" s="1" customFormat="1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</row>
    <row r="520" spans="2:19" s="1" customFormat="1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</row>
    <row r="521" spans="2:19" s="1" customFormat="1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</row>
    <row r="522" spans="2:19" s="1" customFormat="1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</row>
    <row r="523" spans="2:19" s="1" customFormat="1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</row>
    <row r="524" spans="2:19" s="1" customFormat="1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</row>
    <row r="525" spans="2:19" s="1" customFormat="1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</row>
    <row r="526" spans="2:19" s="1" customFormat="1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</row>
    <row r="527" spans="2:19" s="1" customFormat="1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</row>
    <row r="528" spans="2:19" s="1" customFormat="1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</row>
    <row r="529" spans="2:19" s="1" customFormat="1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</row>
    <row r="530" spans="2:19" s="1" customFormat="1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</row>
    <row r="531" spans="2:19" s="1" customFormat="1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</row>
    <row r="532" spans="2:19" s="1" customFormat="1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</row>
    <row r="533" spans="2:19" s="1" customFormat="1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</row>
    <row r="534" spans="2:19" s="1" customFormat="1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</row>
    <row r="535" spans="2:19" s="1" customFormat="1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</row>
  </sheetData>
  <sheetProtection algorithmName="SHA-512" hashValue="IkQITYmt3GrYZaFm76ewrPZNGL+TQPA0CwcU7eLxlDhj7MgAPOxPf0/Lq7M+yWKFsxK86vomeAE0CEfS1pFLSA==" saltValue="BMZRF45CAwP60LvijmHNKg==" spinCount="100000" sheet="1" scenarios="1"/>
  <mergeCells count="19">
    <mergeCell ref="B54:Q54"/>
    <mergeCell ref="K40:O40"/>
    <mergeCell ref="B6:Q6"/>
    <mergeCell ref="B25:Q25"/>
    <mergeCell ref="B33:Q33"/>
    <mergeCell ref="B41:Q41"/>
    <mergeCell ref="E59:E60"/>
    <mergeCell ref="F59:F60"/>
    <mergeCell ref="G59:G60"/>
    <mergeCell ref="H59:H60"/>
    <mergeCell ref="I59:I60"/>
    <mergeCell ref="Q59:Q60"/>
    <mergeCell ref="M59:M60"/>
    <mergeCell ref="N59:N60"/>
    <mergeCell ref="O59:O60"/>
    <mergeCell ref="J59:J60"/>
    <mergeCell ref="K59:K60"/>
    <mergeCell ref="L59:L60"/>
    <mergeCell ref="P59:P60"/>
  </mergeCells>
  <conditionalFormatting sqref="C55:C61">
    <cfRule type="cellIs" dxfId="59" priority="25" operator="equal">
      <formula>"SYDEREP"</formula>
    </cfRule>
    <cfRule type="cellIs" dxfId="58" priority="26" operator="equal">
      <formula>"Calcul"</formula>
    </cfRule>
    <cfRule type="cellIs" dxfId="57" priority="27" operator="equal">
      <formula>"EO"</formula>
    </cfRule>
  </conditionalFormatting>
  <conditionalFormatting sqref="C7:C18">
    <cfRule type="cellIs" dxfId="56" priority="22" operator="equal">
      <formula>"SYDEREP"</formula>
    </cfRule>
    <cfRule type="cellIs" dxfId="55" priority="23" operator="equal">
      <formula>"Calcul"</formula>
    </cfRule>
    <cfRule type="cellIs" dxfId="54" priority="24" operator="equal">
      <formula>"EO"</formula>
    </cfRule>
  </conditionalFormatting>
  <conditionalFormatting sqref="C21">
    <cfRule type="cellIs" dxfId="53" priority="19" operator="equal">
      <formula>"SYDEREP"</formula>
    </cfRule>
    <cfRule type="cellIs" dxfId="52" priority="20" operator="equal">
      <formula>"Calcul"</formula>
    </cfRule>
    <cfRule type="cellIs" dxfId="51" priority="21" operator="equal">
      <formula>"EO"</formula>
    </cfRule>
  </conditionalFormatting>
  <conditionalFormatting sqref="C19">
    <cfRule type="cellIs" dxfId="50" priority="16" operator="equal">
      <formula>"SYDEREP"</formula>
    </cfRule>
    <cfRule type="cellIs" dxfId="49" priority="17" operator="equal">
      <formula>"Calcul"</formula>
    </cfRule>
    <cfRule type="cellIs" dxfId="48" priority="18" operator="equal">
      <formula>"EO"</formula>
    </cfRule>
  </conditionalFormatting>
  <conditionalFormatting sqref="C20">
    <cfRule type="cellIs" dxfId="47" priority="13" operator="equal">
      <formula>"SYDEREP"</formula>
    </cfRule>
    <cfRule type="cellIs" dxfId="46" priority="14" operator="equal">
      <formula>"Calcul"</formula>
    </cfRule>
    <cfRule type="cellIs" dxfId="45" priority="15" operator="equal">
      <formula>"EO"</formula>
    </cfRule>
  </conditionalFormatting>
  <conditionalFormatting sqref="C26:C32">
    <cfRule type="cellIs" dxfId="44" priority="10" operator="equal">
      <formula>"SYDEREP"</formula>
    </cfRule>
    <cfRule type="cellIs" dxfId="43" priority="11" operator="equal">
      <formula>"Calcul"</formula>
    </cfRule>
    <cfRule type="cellIs" dxfId="42" priority="12" operator="equal">
      <formula>"EO"</formula>
    </cfRule>
  </conditionalFormatting>
  <conditionalFormatting sqref="C34:C40">
    <cfRule type="cellIs" dxfId="41" priority="7" operator="equal">
      <formula>"SYDEREP"</formula>
    </cfRule>
    <cfRule type="cellIs" dxfId="40" priority="8" operator="equal">
      <formula>"Calcul"</formula>
    </cfRule>
    <cfRule type="cellIs" dxfId="39" priority="9" operator="equal">
      <formula>"EO"</formula>
    </cfRule>
  </conditionalFormatting>
  <conditionalFormatting sqref="C42:C47">
    <cfRule type="cellIs" dxfId="38" priority="4" operator="equal">
      <formula>"SYDEREP"</formula>
    </cfRule>
    <cfRule type="cellIs" dxfId="37" priority="5" operator="equal">
      <formula>"Calcul"</formula>
    </cfRule>
    <cfRule type="cellIs" dxfId="36" priority="6" operator="equal">
      <formula>"EO"</formula>
    </cfRule>
  </conditionalFormatting>
  <conditionalFormatting sqref="C48">
    <cfRule type="cellIs" dxfId="35" priority="1" operator="equal">
      <formula>"SYDEREP"</formula>
    </cfRule>
    <cfRule type="cellIs" dxfId="34" priority="2" operator="equal">
      <formula>"Calcul"</formula>
    </cfRule>
    <cfRule type="cellIs" dxfId="33" priority="3" operator="equal">
      <formula>"EO"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G12"/>
  <sheetViews>
    <sheetView zoomScale="70" zoomScaleNormal="70" workbookViewId="0">
      <selection activeCell="G3" sqref="G3:G9"/>
    </sheetView>
  </sheetViews>
  <sheetFormatPr baseColWidth="10" defaultRowHeight="14.5"/>
  <cols>
    <col min="1" max="1" width="48.453125" customWidth="1"/>
  </cols>
  <sheetData>
    <row r="1" spans="1:7" ht="15" thickBot="1">
      <c r="A1" s="29" t="s">
        <v>277</v>
      </c>
      <c r="B1" s="30">
        <v>9753</v>
      </c>
      <c r="C1" s="30">
        <v>325165</v>
      </c>
      <c r="D1" s="30">
        <f>C1+B1</f>
        <v>334918</v>
      </c>
      <c r="E1" s="30">
        <v>9838</v>
      </c>
      <c r="F1" s="31">
        <v>299990</v>
      </c>
      <c r="G1" s="32">
        <f>F1+E1</f>
        <v>309828</v>
      </c>
    </row>
    <row r="2" spans="1:7" ht="18">
      <c r="A2" s="5" t="s">
        <v>276</v>
      </c>
      <c r="B2" s="6" t="s">
        <v>270</v>
      </c>
      <c r="C2" s="6" t="s">
        <v>272</v>
      </c>
      <c r="D2" s="6" t="s">
        <v>274</v>
      </c>
      <c r="E2" s="6" t="s">
        <v>271</v>
      </c>
      <c r="F2" s="6" t="s">
        <v>273</v>
      </c>
      <c r="G2" s="27" t="s">
        <v>275</v>
      </c>
    </row>
    <row r="3" spans="1:7">
      <c r="A3" s="7" t="s">
        <v>268</v>
      </c>
      <c r="B3" s="19">
        <f t="shared" ref="B3:G3" si="0">1-(B7+B8)</f>
        <v>2.0000000000000018E-2</v>
      </c>
      <c r="C3" s="19">
        <f t="shared" si="0"/>
        <v>0.52</v>
      </c>
      <c r="D3" s="19">
        <f t="shared" si="0"/>
        <v>0.50543971957314926</v>
      </c>
      <c r="E3" s="19">
        <f t="shared" si="0"/>
        <v>1</v>
      </c>
      <c r="F3" s="23">
        <f t="shared" si="0"/>
        <v>0.51</v>
      </c>
      <c r="G3" s="21">
        <f t="shared" si="0"/>
        <v>0.52555901984326792</v>
      </c>
    </row>
    <row r="4" spans="1:7">
      <c r="A4" s="8" t="s">
        <v>61</v>
      </c>
      <c r="B4" s="19">
        <v>0</v>
      </c>
      <c r="C4" s="19">
        <v>0</v>
      </c>
      <c r="D4" s="19">
        <f>(B4*B$1+C4*C$1)/D$1</f>
        <v>0</v>
      </c>
      <c r="E4" s="19">
        <v>0</v>
      </c>
      <c r="F4" s="23">
        <v>0</v>
      </c>
      <c r="G4" s="21">
        <f>(E4*E$1+F4*F$1)/G$1</f>
        <v>0</v>
      </c>
    </row>
    <row r="5" spans="1:7">
      <c r="A5" s="8" t="s">
        <v>62</v>
      </c>
      <c r="B5" s="19">
        <v>0.64</v>
      </c>
      <c r="C5" s="19">
        <v>0.14000000000000001</v>
      </c>
      <c r="D5" s="19">
        <f>(B5*B$1+C5*C$1)/D$1</f>
        <v>0.15456028042685077</v>
      </c>
      <c r="E5" s="19">
        <v>0.35</v>
      </c>
      <c r="F5" s="23">
        <v>0.05</v>
      </c>
      <c r="G5" s="21">
        <f>(E5*E$1+F5*F$1)/G$1</f>
        <v>5.9525930516286456E-2</v>
      </c>
    </row>
    <row r="6" spans="1:7">
      <c r="A6" s="8" t="s">
        <v>63</v>
      </c>
      <c r="B6" s="19">
        <v>0.36</v>
      </c>
      <c r="C6" s="19">
        <v>0.86</v>
      </c>
      <c r="D6" s="19">
        <f>(B6*B$1+C6*C$1)/D$1</f>
        <v>0.84543971957314934</v>
      </c>
      <c r="E6" s="19">
        <v>0.65</v>
      </c>
      <c r="F6" s="23">
        <v>0.95</v>
      </c>
      <c r="G6" s="21">
        <f>(E6*E$1+F6*F$1)/G$1</f>
        <v>0.94047406948371359</v>
      </c>
    </row>
    <row r="7" spans="1:7">
      <c r="A7" s="7" t="s">
        <v>64</v>
      </c>
      <c r="B7" s="19">
        <v>0.98</v>
      </c>
      <c r="C7" s="19">
        <v>0.47</v>
      </c>
      <c r="D7" s="19">
        <f>(B7*B$1+C7*C$1)/D$1</f>
        <v>0.48485148603538775</v>
      </c>
      <c r="E7" s="19">
        <v>0</v>
      </c>
      <c r="F7" s="23">
        <v>0.47</v>
      </c>
      <c r="G7" s="21">
        <f>(E7*E$1+F7*F$1)/G$1</f>
        <v>0.45507604219115116</v>
      </c>
    </row>
    <row r="8" spans="1:7">
      <c r="A8" s="7" t="s">
        <v>45</v>
      </c>
      <c r="B8" s="19">
        <v>0</v>
      </c>
      <c r="C8" s="19">
        <v>0.01</v>
      </c>
      <c r="D8" s="19">
        <f>(B8*B$1+C8*C$1)/D$1</f>
        <v>9.708794391462985E-3</v>
      </c>
      <c r="E8" s="19">
        <v>0</v>
      </c>
      <c r="F8" s="23">
        <v>0.02</v>
      </c>
      <c r="G8" s="21">
        <f>(E8*E$1+F8*F$1)/G$1</f>
        <v>1.9364937965580902E-2</v>
      </c>
    </row>
    <row r="9" spans="1:7" ht="15" thickBot="1">
      <c r="A9" s="9" t="s">
        <v>48</v>
      </c>
      <c r="B9" s="10"/>
      <c r="C9" s="14"/>
      <c r="D9" s="14"/>
      <c r="E9" s="14"/>
      <c r="F9" s="14"/>
      <c r="G9" s="15"/>
    </row>
    <row r="11" spans="1:7">
      <c r="C11" s="28"/>
    </row>
    <row r="12" spans="1:7">
      <c r="C12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343A297BBB549B2450139D29BF556" ma:contentTypeVersion="14" ma:contentTypeDescription="Crée un document." ma:contentTypeScope="" ma:versionID="55317c2b4ffafcb585ad4a6757e4a2ce">
  <xsd:schema xmlns:xsd="http://www.w3.org/2001/XMLSchema" xmlns:xs="http://www.w3.org/2001/XMLSchema" xmlns:p="http://schemas.microsoft.com/office/2006/metadata/properties" xmlns:ns2="0eda1378-fd90-47a6-8e41-3e92b4bf81f3" xmlns:ns3="05209043-8a9b-49c4-8b15-67272751ab36" targetNamespace="http://schemas.microsoft.com/office/2006/metadata/properties" ma:root="true" ma:fieldsID="b67ad3f774cd800723d715b4fc91e9d2" ns2:_="" ns3:_="">
    <xsd:import namespace="0eda1378-fd90-47a6-8e41-3e92b4bf81f3"/>
    <xsd:import namespace="05209043-8a9b-49c4-8b15-67272751ab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1378-fd90-47a6-8e41-3e92b4bf81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faaaa922-7a9d-4888-b0c0-3cd0453685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09043-8a9b-49c4-8b15-67272751ab3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70e8fcf-33d0-4aaa-a50e-b52a3f62d9ec}" ma:internalName="TaxCatchAll" ma:showField="CatchAllData" ma:web="05209043-8a9b-49c4-8b15-67272751ab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da1378-fd90-47a6-8e41-3e92b4bf81f3">
      <Terms xmlns="http://schemas.microsoft.com/office/infopath/2007/PartnerControls"/>
    </lcf76f155ced4ddcb4097134ff3c332f>
    <TaxCatchAll xmlns="05209043-8a9b-49c4-8b15-67272751ab36" xsi:nil="true"/>
  </documentManagement>
</p:properties>
</file>

<file path=customXml/itemProps1.xml><?xml version="1.0" encoding="utf-8"?>
<ds:datastoreItem xmlns:ds="http://schemas.openxmlformats.org/officeDocument/2006/customXml" ds:itemID="{06F5EBC2-0701-4F4C-9077-4878C50906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172B90-A3E6-4E19-9970-E6C6B497AD4F}"/>
</file>

<file path=customXml/itemProps3.xml><?xml version="1.0" encoding="utf-8"?>
<ds:datastoreItem xmlns:ds="http://schemas.openxmlformats.org/officeDocument/2006/customXml" ds:itemID="{C28FFB79-E027-4A46-AAC4-E4784AE90988}">
  <ds:schemaRefs>
    <ds:schemaRef ds:uri="94c23c1e-c069-4549-aef8-ba6e478d7f81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5eff3158-11b6-425d-a281-6c210e25dbfc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Page de garde TDB</vt:lpstr>
      <vt:lpstr>Mise sur le marché</vt:lpstr>
      <vt:lpstr>Collecte et tri</vt:lpstr>
      <vt:lpstr>Indicateurs économiques - Citeo</vt:lpstr>
      <vt:lpstr>Indicateurs économiques - Leko</vt:lpstr>
      <vt:lpstr>Acier</vt:lpstr>
      <vt:lpstr>Aluminium</vt:lpstr>
      <vt:lpstr>Papier-Carton</vt:lpstr>
      <vt:lpstr>PCM</vt:lpstr>
      <vt:lpstr>Plastique</vt:lpstr>
      <vt:lpstr>Verre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Alima KOITE</dc:creator>
  <cp:lastModifiedBy>FOUQUE Edouard</cp:lastModifiedBy>
  <dcterms:created xsi:type="dcterms:W3CDTF">2019-07-03T13:14:34Z</dcterms:created>
  <dcterms:modified xsi:type="dcterms:W3CDTF">2023-01-17T07:54:42Z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0x01010011CED6621FA44C46A41F19ED146A6463</vt:lpwstr>
  </property>
</Properties>
</file>